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2"/>
    <sheet name="Assumptions" sheetId="2" state="visible" r:id="rId3"/>
    <sheet name="Monthly Conservative" sheetId="3" state="visible" r:id="rId4"/>
    <sheet name="Monthly Base" sheetId="4" state="visible" r:id="rId5"/>
    <sheet name="Monthly Strong" sheetId="5" state="visible" r:id="rId6"/>
    <sheet name="Checks" sheetId="6" state="visible" r:id="rId7"/>
    <sheet name="Sources" sheetId="7" state="visible" r:id="rId8"/>
  </sheets>
  <definedNames>
    <definedName function="false" hidden="false" localSheetId="3" name="_xlnm.Print_Titles" vbProcedure="false">'Monthly Base'!$A:$C,'Monthly Base'!$4:$4</definedName>
    <definedName function="false" hidden="false" localSheetId="2" name="_xlnm.Print_Titles" vbProcedure="false">'Monthly Conservative'!$A:$C,'Monthly Conservative'!$4:$4</definedName>
    <definedName function="false" hidden="false" localSheetId="4" name="_xlnm.Print_Titles" vbProcedure="false">'Monthly Strong'!$A:$C,'Monthly Strong'!$4:$4</definedName>
    <definedName function="false" hidden="false" localSheetId="2" name="_xlnm.Print_Titles" vbProcedure="false">'Monthly Conservative'!$4:$4,'Monthly Conservative'!$A:$C</definedName>
    <definedName function="false" hidden="false" localSheetId="3" name="_xlnm.Print_Titles" vbProcedure="false">'Monthly Base'!$4:$4,'Monthly Base'!$A:$C</definedName>
    <definedName function="false" hidden="false" localSheetId="4" name="_xlnm.Print_Titles" vbProcedure="false">'Monthly Strong'!$4:$4,'Monthly Strong'!$A:$C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<sst xmlns="http://schemas.openxmlformats.org/spreadsheetml/2006/main" count="597" uniqueCount="301">
  <si>
    <t xml:space="preserve">Barber sites: 5-year economics</t>
  </si>
  <si>
    <t xml:space="preserve">ESTIMATE. A planning model, not a forecast or tax advice. Month 1 = Nov 2026, starting from zero paying barbers. Edit the Assumptions sheet.</t>
  </si>
  <si>
    <t xml:space="preserve">Conservative case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</si>
  <si>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</si>
  <si>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</si>
  <si>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</si>
  <si>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</si>
  <si>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</si>
  <si>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Starter barbers (year end)</t>
  </si>
  <si>
    <t xml:space="preserve">Maps plan barbers (year end)</t>
  </si>
  <si>
    <t xml:space="preserve">Shop tier (year end)</t>
  </si>
  <si>
    <t xml:space="preserve">Own it owners (all time)</t>
  </si>
  <si>
    <t xml:space="preserve">On Growth add-on (year end)</t>
  </si>
  <si>
    <t xml:space="preserve">On Barber Pay (year end)</t>
  </si>
  <si>
    <t xml:space="preserve">New sales in the year</t>
  </si>
  <si>
    <t xml:space="preserve">Churned in the year</t>
  </si>
  <si>
    <t xml:space="preserve">MRR at year end</t>
  </si>
  <si>
    <t xml:space="preserve">Revenue</t>
  </si>
  <si>
    <t xml:space="preserve">Costs</t>
  </si>
  <si>
    <t xml:space="preserve">  of which VA / contractor</t>
  </si>
  <si>
    <t xml:space="preserve">Profit before tax</t>
  </si>
  <si>
    <t xml:space="preserve">After tax (est. set-aside)</t>
  </si>
  <si>
    <t xml:space="preserve">Hours per week needed (Dec)</t>
  </si>
  <si>
    <t xml:space="preserve">  of which VA hours per week</t>
  </si>
  <si>
    <t xml:space="preserve">First profitable month</t>
  </si>
  <si>
    <t xml:space="preserve">Barber Pay goes live (month)</t>
  </si>
  <si>
    <t xml:space="preserve">$100k/yr after-tax pace, 3 months in a row (month)</t>
  </si>
  <si>
    <t xml:space="preserve">Freedom point: goal pace 3 months in a row (month)</t>
  </si>
  <si>
    <t xml:space="preserve">Cumulative after-tax by month 60</t>
  </si>
  <si>
    <t xml:space="preserve">Base case</t>
  </si>
  <si>
    <t xml:space="preserve">Strong case</t>
  </si>
  <si>
    <t xml:space="preserve">Freedom math (base case assumptions)</t>
  </si>
  <si>
    <t xml:space="preserve">Goal: take-home per year after tax</t>
  </si>
  <si>
    <t xml:space="preserve">Tax set-aside used</t>
  </si>
  <si>
    <t xml:space="preserve">Profit before tax needed per year</t>
  </si>
  <si>
    <t xml:space="preserve">Profit before tax needed per month</t>
  </si>
  <si>
    <t xml:space="preserve">Base case month 60: profit per active barber per month</t>
  </si>
  <si>
    <t xml:space="preserve">Active barbers needed at that profit per barber</t>
  </si>
  <si>
    <t xml:space="preserve">Base case active barbers at month 60</t>
  </si>
  <si>
    <t xml:space="preserve">Levers on the base case (snapshot computed when this file was built; one change at a time)</t>
  </si>
  <si>
    <t xml:space="preserve">Change to the base case</t>
  </si>
  <si>
    <t xml:space="preserve">Year 5 after tax</t>
  </si>
  <si>
    <t xml:space="preserve">$100k pace (month)</t>
  </si>
  <si>
    <t xml:space="preserve">$200k goal (month)</t>
  </si>
  <si>
    <t xml:space="preserve">Barbers at month 60</t>
  </si>
  <si>
    <t xml:space="preserve">Base case as is</t>
  </si>
  <si>
    <t xml:space="preserve">Not in 5 yrs</t>
  </si>
  <si>
    <t xml:space="preserve">Raise prices 10% a year (not 3%)</t>
  </si>
  <si>
    <t xml:space="preserve">Starter at $149/mo instead of $99</t>
  </si>
  <si>
    <t xml:space="preserve">Growth on 40% of barbers, 10 clients each</t>
  </si>
  <si>
    <t xml:space="preserve">Barber Pay on 60% of barbers</t>
  </si>
  <si>
    <t xml:space="preserve">Double outreach from year 2 (VA + 2nd account)</t>
  </si>
  <si>
    <t xml:space="preserve">Shop tier: 10% of new sales at $399/mo</t>
  </si>
  <si>
    <t xml:space="preserve">Lower churn (2%/mo after term, 10% leave at month 12)</t>
  </si>
  <si>
    <t xml:space="preserve">Double outreach + Growth 40% + prices 10%/yr</t>
  </si>
  <si>
    <t xml:space="preserve">All of the above together</t>
  </si>
  <si>
    <t xml:space="preserve">Chart data: MRR at year end</t>
  </si>
  <si>
    <t xml:space="preserve">Year</t>
  </si>
  <si>
    <t xml:space="preserve">Conservative</t>
  </si>
  <si>
    <t xml:space="preserve">Base</t>
  </si>
  <si>
    <t xml:space="preserve">Strong</t>
  </si>
  <si>
    <t xml:space="preserve">Assumptions (edit the blue cells)</t>
  </si>
  <si>
    <t xml:space="preserve">ESTIMATE. Every number here is a planning guess, not a fact. Change a blue cell and the monthly sheets, summary and chart update.</t>
  </si>
  <si>
    <t xml:space="preserve">Month 1 = November 2026. Starts from zero paying barbers. Team = Ryan + his wife, plus automation, plus a VA only for overflow hours.</t>
  </si>
  <si>
    <t xml:space="preserve">Assumption</t>
  </si>
  <si>
    <t xml:space="preserve">Unit</t>
  </si>
  <si>
    <t xml:space="preserve">Why / note</t>
  </si>
  <si>
    <t xml:space="preserve">Source</t>
  </si>
  <si>
    <t xml:space="preserve">Outreach and sales</t>
  </si>
  <si>
    <t xml:space="preserve">DMs per working day, year 1</t>
  </si>
  <si>
    <t xml:space="preserve">DMs</t>
  </si>
  <si>
    <t xml:space="preserve">You approve each one. Automation builds the preview.</t>
  </si>
  <si>
    <t xml:space="preserve">Estimate</t>
  </si>
  <si>
    <t xml:space="preserve">DMs per working day, year 2</t>
  </si>
  <si>
    <t xml:space="preserve">Your wife takes some approvals.</t>
  </si>
  <si>
    <t xml:space="preserve">DMs per working day, years 3 to 5</t>
  </si>
  <si>
    <t xml:space="preserve">Instagram limits cold DMs per account. Above ~30/day means a second account.</t>
  </si>
  <si>
    <t xml:space="preserve">Working days per month</t>
  </si>
  <si>
    <t xml:space="preserve">days</t>
  </si>
  <si>
    <t xml:space="preserve">Reply rate on DMs</t>
  </si>
  <si>
    <t xml:space="preserve">%</t>
  </si>
  <si>
    <t xml:space="preserve">Cold email averages 0.45% to 5-10%. A free preview of his own site should beat that.</t>
  </si>
  <si>
    <t xml:space="preserve">S1, S2</t>
  </si>
  <si>
    <t xml:space="preserve">Replies that become paying clients</t>
  </si>
  <si>
    <t xml:space="preserve">Month 1 sales efficiency (learning curve)</t>
  </si>
  <si>
    <t xml:space="preserve">Grows to 100% over the ramp months.</t>
  </si>
  <si>
    <t xml:space="preserve">Ramp months to full efficiency</t>
  </si>
  <si>
    <t xml:space="preserve">months</t>
  </si>
  <si>
    <t xml:space="preserve">Referrals per month, as % of active barbers</t>
  </si>
  <si>
    <t xml:space="preserve">1 free month per signed referral.</t>
  </si>
  <si>
    <t xml:space="preserve">Plan mix and churn</t>
  </si>
  <si>
    <t xml:space="preserve">New sales that pick Starter (rest Own it)</t>
  </si>
  <si>
    <t xml:space="preserve">Page target was 3 Starter : 1 Own it.</t>
  </si>
  <si>
    <t xml:space="preserve">New sales on a Shop tier (multi-chair shops)</t>
  </si>
  <si>
    <t xml:space="preserve">Not on the page yet. Lever only.</t>
  </si>
  <si>
    <t xml:space="preserve">Starters who take the 30-day $99 back</t>
  </si>
  <si>
    <t xml:space="preserve">Plan sec. 05</t>
  </si>
  <si>
    <t xml:space="preserve">Starter monthly dropout during the 12-month minimum</t>
  </si>
  <si>
    <t xml:space="preserve">%/mo</t>
  </si>
  <si>
    <t xml:space="preserve">Barber quits, card dies, or stops paying. Hard to collect abroad.</t>
  </si>
  <si>
    <t xml:space="preserve">S3 (involuntary)</t>
  </si>
  <si>
    <t xml:space="preserve">Starters who leave right at month 12</t>
  </si>
  <si>
    <t xml:space="preserve">Starter monthly churn after the minimum</t>
  </si>
  <si>
    <t xml:space="preserve">SMB subscriptions run ~3-5%/mo.</t>
  </si>
  <si>
    <t xml:space="preserve">S3, S4, S5</t>
  </si>
  <si>
    <t xml:space="preserve">Own it buyers who add the Maps plan</t>
  </si>
  <si>
    <t xml:space="preserve">Maps plan monthly churn (month to month)</t>
  </si>
  <si>
    <t xml:space="preserve">SEO retainers ~3.2%/mo.</t>
  </si>
  <si>
    <t xml:space="preserve">S6</t>
  </si>
  <si>
    <t xml:space="preserve">Shop tier monthly churn</t>
  </si>
  <si>
    <t xml:space="preserve">S5</t>
  </si>
  <si>
    <t xml:space="preserve">Prices</t>
  </si>
  <si>
    <t xml:space="preserve">Starter start fee</t>
  </si>
  <si>
    <t xml:space="preserve">$</t>
  </si>
  <si>
    <t xml:space="preserve">Plan sec. 03</t>
  </si>
  <si>
    <t xml:space="preserve">Starter monthly price</t>
  </si>
  <si>
    <t xml:space="preserve">Own it price (one time)</t>
  </si>
  <si>
    <t xml:space="preserve">Maps plan price</t>
  </si>
  <si>
    <t xml:space="preserve">$/mo</t>
  </si>
  <si>
    <t xml:space="preserve">Shop tier price</t>
  </si>
  <si>
    <t xml:space="preserve">Price increase each year from year 2</t>
  </si>
  <si>
    <t xml:space="preserve">%/yr</t>
  </si>
  <si>
    <t xml:space="preserve">Applies to Starter, Own it, Maps. $10 fee stays flat.</t>
  </si>
  <si>
    <t xml:space="preserve">Growth add-on (ads)</t>
  </si>
  <si>
    <t xml:space="preserve">Growth add-on: first month sold (after the pilot)</t>
  </si>
  <si>
    <t xml:space="preserve">month</t>
  </si>
  <si>
    <t xml:space="preserve">Growth ramps in over this many months</t>
  </si>
  <si>
    <t xml:space="preserve">Barbers on Growth (share of Starter + Maps barbers)</t>
  </si>
  <si>
    <t xml:space="preserve">New ad clients per Growth barber per month</t>
  </si>
  <si>
    <t xml:space="preserve">clients</t>
  </si>
  <si>
    <t xml:space="preserve">$150/mo budget at ~$20 a client (hot $15, cold $30).</t>
  </si>
  <si>
    <t xml:space="preserve">Plan sec. 06</t>
  </si>
  <si>
    <t xml:space="preserve">Your fee per new client after the cut</t>
  </si>
  <si>
    <t xml:space="preserve">Barber Pay (phase 2)</t>
  </si>
  <si>
    <t xml:space="preserve">Barber Pay goes live at this many Starter + Maps barbers</t>
  </si>
  <si>
    <t xml:space="preserve">barbers</t>
  </si>
  <si>
    <t xml:space="preserve">Built around 10, live by ~20.</t>
  </si>
  <si>
    <t xml:space="preserve">Barber Pay earliest live month (build time)</t>
  </si>
  <si>
    <t xml:space="preserve">Barber Pay adoption (share of Starter + Maps barbers)</t>
  </si>
  <si>
    <t xml:space="preserve">Months for Barber Pay adoption to ramp up</t>
  </si>
  <si>
    <t xml:space="preserve">Card volume per Barber Pay barber</t>
  </si>
  <si>
    <t xml:space="preserve">Plan sec. 14</t>
  </si>
  <si>
    <t xml:space="preserve">Your Barber Pay cut</t>
  </si>
  <si>
    <t xml:space="preserve">Barber Pay one-time build (dev help + terms)</t>
  </si>
  <si>
    <t xml:space="preserve">Barber Pay running cost after launch</t>
  </si>
  <si>
    <t xml:space="preserve">Card fees on what you collect (blended)</t>
  </si>
  <si>
    <t xml:space="preserve">2.9% + 30¢, +1.5% intl cards, +1% currency conversion.</t>
  </si>
  <si>
    <t xml:space="preserve">S7</t>
  </si>
  <si>
    <t xml:space="preserve">Stripe Billing on subscriptions</t>
  </si>
  <si>
    <t xml:space="preserve">S8</t>
  </si>
  <si>
    <t xml:space="preserve">Domain per Starter barber</t>
  </si>
  <si>
    <t xml:space="preserve">~$15/yr .com</t>
  </si>
  <si>
    <t xml:space="preserve">Domain year 1 per Own it sale</t>
  </si>
  <si>
    <t xml:space="preserve">Tools and software (fixed)</t>
  </si>
  <si>
    <t xml:space="preserve">AI tools, workspace, CRM, design.</t>
  </si>
  <si>
    <t xml:space="preserve">Tools per Starter/Maps/Shop barber</t>
  </si>
  <si>
    <t xml:space="preserve">Review requests, listings.</t>
  </si>
  <si>
    <t xml:space="preserve">Meta ads for your own brand, from year 2</t>
  </si>
  <si>
    <t xml:space="preserve">No extra sales assumed from these.</t>
  </si>
  <si>
    <t xml:space="preserve">Accountant (incl. one overseas-tax chat)</t>
  </si>
  <si>
    <t xml:space="preserve">$/yr</t>
  </si>
  <si>
    <t xml:space="preserve">S10</t>
  </si>
  <si>
    <t xml:space="preserve">LLC filing (one time, month 1)</t>
  </si>
  <si>
    <t xml:space="preserve">Unverified</t>
  </si>
  <si>
    <t xml:space="preserve">Registered agent + business insurance</t>
  </si>
  <si>
    <t xml:space="preserve">Time and help</t>
  </si>
  <si>
    <t xml:space="preserve">Team minutes per DM (approve + send)</t>
  </si>
  <si>
    <t xml:space="preserve">min</t>
  </si>
  <si>
    <t xml:space="preserve">Automation drafts the DM and builds the preview.</t>
  </si>
  <si>
    <t xml:space="preserve">Hours per reply (chat, call, close)</t>
  </si>
  <si>
    <t xml:space="preserve">hrs</t>
  </si>
  <si>
    <t xml:space="preserve">Hours per new client (finish site, domain, onboarding)</t>
  </si>
  <si>
    <t xml:space="preserve">Hours per Starter/Maps barber per month</t>
  </si>
  <si>
    <t xml:space="preserve">Weekly posts, reviews, listings, edits.</t>
  </si>
  <si>
    <t xml:space="preserve">Hours per Growth barber per month</t>
  </si>
  <si>
    <t xml:space="preserve">Hours per Barber Pay barber per month</t>
  </si>
  <si>
    <t xml:space="preserve">Support, disputes.</t>
  </si>
  <si>
    <t xml:space="preserve">Hours per Shop tier client per month</t>
  </si>
  <si>
    <t xml:space="preserve">Admin hours per week (whole team)</t>
  </si>
  <si>
    <t xml:space="preserve">hrs/wk</t>
  </si>
  <si>
    <t xml:space="preserve">Team hours per week, part-time (Ryan + wife)</t>
  </si>
  <si>
    <t xml:space="preserve">Both keep their jobs until the freedom point.</t>
  </si>
  <si>
    <t xml:space="preserve">Team hours per week after the freedom point</t>
  </si>
  <si>
    <t xml:space="preserve">Both near full-time, while traveling.</t>
  </si>
  <si>
    <t xml:space="preserve">VA/contractor hourly rate</t>
  </si>
  <si>
    <t xml:space="preserve">$/hr</t>
  </si>
  <si>
    <t xml:space="preserve">Philippines VA $6.50-15/hr via agency.</t>
  </si>
  <si>
    <t xml:space="preserve">S9</t>
  </si>
  <si>
    <t xml:space="preserve">VA overhead (training, checking work)</t>
  </si>
  <si>
    <t xml:space="preserve">x</t>
  </si>
  <si>
    <t xml:space="preserve">Taxes and goals</t>
  </si>
  <si>
    <t xml:space="preserve">Tax set-aside on profit (estimate, not tax advice)</t>
  </si>
  <si>
    <t xml:space="preserve">Freedom goal, take-home per year after tax</t>
  </si>
  <si>
    <t xml:space="preserve">Ryan + wife, "to start". Change it.</t>
  </si>
  <si>
    <t xml:space="preserve">Ryan, Oct 3</t>
  </si>
  <si>
    <t xml:space="preserve">Milestone: one income replaced, after tax</t>
  </si>
  <si>
    <t xml:space="preserve">Monthly: Conservative</t>
  </si>
  <si>
    <t xml:space="preserve">ESTIMATE</t>
  </si>
  <si>
    <t xml:space="preserve">Counts are averages, so they show decimals. Revenue and costs in USD. All formulas point at the Assumptions sheet.</t>
  </si>
  <si>
    <t xml:space="preserve">Month #</t>
  </si>
  <si>
    <t xml:space="preserve">Month</t>
  </si>
  <si>
    <t xml:space="preserve">DMs per day</t>
  </si>
  <si>
    <t xml:space="preserve">DMs sent</t>
  </si>
  <si>
    <t xml:space="preserve">Replies</t>
  </si>
  <si>
    <t xml:space="preserve">Sales ramp</t>
  </si>
  <si>
    <t xml:space="preserve">New from DMs</t>
  </si>
  <si>
    <t xml:space="preserve">Referrals</t>
  </si>
  <si>
    <t xml:space="preserve">New sales</t>
  </si>
  <si>
    <t xml:space="preserve">New Shop tier</t>
  </si>
  <si>
    <t xml:space="preserve">New Starter</t>
  </si>
  <si>
    <t xml:space="preserve">New Own it</t>
  </si>
  <si>
    <t xml:space="preserve">Starter refunds (30-day)</t>
  </si>
  <si>
    <t xml:space="preserve">Starters entering</t>
  </si>
  <si>
    <t xml:space="preserve">Finishing 12-mo min</t>
  </si>
  <si>
    <t xml:space="preserve">Starter in minimum</t>
  </si>
  <si>
    <t xml:space="preserve">Starter past minimum</t>
  </si>
  <si>
    <t xml:space="preserve">Starter total</t>
  </si>
  <si>
    <t xml:space="preserve">Maps plan</t>
  </si>
  <si>
    <t xml:space="preserve">Shop tier</t>
  </si>
  <si>
    <t xml:space="preserve">Churned (all plans)</t>
  </si>
  <si>
    <t xml:space="preserve">Growth barbers</t>
  </si>
  <si>
    <t xml:space="preserve">Barber Pay live since month</t>
  </si>
  <si>
    <t xml:space="preserve">Barber Pay barbers</t>
  </si>
  <si>
    <t xml:space="preserve">Price multiplier</t>
  </si>
  <si>
    <t xml:space="preserve">Rev: Starter start fees</t>
  </si>
  <si>
    <t xml:space="preserve">Rev: Starter monthly</t>
  </si>
  <si>
    <t xml:space="preserve">Rev: Own it</t>
  </si>
  <si>
    <t xml:space="preserve">Rev: Maps plan</t>
  </si>
  <si>
    <t xml:space="preserve">Rev: Shop tier</t>
  </si>
  <si>
    <t xml:space="preserve">Rev: Growth fees</t>
  </si>
  <si>
    <t xml:space="preserve">Rev: Barber Pay</t>
  </si>
  <si>
    <t xml:space="preserve">MRR (end of month)</t>
  </si>
  <si>
    <t xml:space="preserve">Cost: card fees</t>
  </si>
  <si>
    <t xml:space="preserve">Cost: Stripe Billing</t>
  </si>
  <si>
    <t xml:space="preserve">Cost: domains</t>
  </si>
  <si>
    <t xml:space="preserve">Cost: tools</t>
  </si>
  <si>
    <t xml:space="preserve">Cost: own-brand ads</t>
  </si>
  <si>
    <t xml:space="preserve">Hours needed (month)</t>
  </si>
  <si>
    <t xml:space="preserve">Team hours available</t>
  </si>
  <si>
    <t xml:space="preserve">VA hours</t>
  </si>
  <si>
    <t xml:space="preserve">Cost: VA / contractor</t>
  </si>
  <si>
    <t xml:space="preserve">Cost: accountant</t>
  </si>
  <si>
    <t xml:space="preserve">Cost: LLC, agent, insurance</t>
  </si>
  <si>
    <t xml:space="preserve">Cost: Barber Pay build + run</t>
  </si>
  <si>
    <t xml:space="preserve">Total costs</t>
  </si>
  <si>
    <t xml:space="preserve">Tax set-aside (est.)</t>
  </si>
  <si>
    <t xml:space="preserve">After-tax take-home</t>
  </si>
  <si>
    <t xml:space="preserve">Cumulative after-tax</t>
  </si>
  <si>
    <t xml:space="preserve">Months in a row at goal</t>
  </si>
  <si>
    <t xml:space="preserve">Freedom point reached</t>
  </si>
  <si>
    <t xml:space="preserve">Months in a row at $100k pace</t>
  </si>
  <si>
    <t xml:space="preserve">Hours per week needed</t>
  </si>
  <si>
    <t xml:space="preserve">VA hours per week</t>
  </si>
  <si>
    <t xml:space="preserve">Helper: profit month (999 = no)</t>
  </si>
  <si>
    <t xml:space="preserve">Helper: goal month (999 = no)</t>
  </si>
  <si>
    <t xml:space="preserve">Helper: $100k month (999 = no)</t>
  </si>
  <si>
    <t xml:space="preserve">Monthly: Base</t>
  </si>
  <si>
    <t xml:space="preserve">Monthly: Strong</t>
  </si>
  <si>
    <t xml:space="preserve">Checks (each should say OK)</t>
  </si>
  <si>
    <t xml:space="preserve">Conservative: revenue lines add up</t>
  </si>
  <si>
    <t xml:space="preserve">Conservative: no negative barber counts</t>
  </si>
  <si>
    <t xml:space="preserve">Conservative: barber flow balances (sold - refunds - churn = active + owners)</t>
  </si>
  <si>
    <t xml:space="preserve">Conservative: profit = revenue - costs</t>
  </si>
  <si>
    <t xml:space="preserve">Base: revenue lines add up</t>
  </si>
  <si>
    <t xml:space="preserve">Base: no negative barber counts</t>
  </si>
  <si>
    <t xml:space="preserve">Base: barber flow balances (sold - refunds - churn = active + owners)</t>
  </si>
  <si>
    <t xml:space="preserve">Base: profit = revenue - costs</t>
  </si>
  <si>
    <t xml:space="preserve">Strong: revenue lines add up</t>
  </si>
  <si>
    <t xml:space="preserve">Strong: no negative barber counts</t>
  </si>
  <si>
    <t xml:space="preserve">Strong: barber flow balances (sold - refunds - churn = active + owners)</t>
  </si>
  <si>
    <t xml:space="preserve">Strong: profit = revenue - costs</t>
  </si>
  <si>
    <t xml:space="preserve">Sources (checked Oct 3, 2026)</t>
  </si>
  <si>
    <t xml:space="preserve">#</t>
  </si>
  <si>
    <t xml:space="preserve">What it says</t>
  </si>
  <si>
    <t xml:space="preserve">URL</t>
  </si>
  <si>
    <t xml:space="preserve">S1</t>
  </si>
  <si>
    <t xml:space="preserve">Belkins 2026 study: average cold email reply rate across 2025 campaigns was 0.45% of emails sent (strict, net-new contacts).</t>
  </si>
  <si>
    <t xml:space="preserve">https://belkins.io/blog/cold-email-response-rates</t>
  </si>
  <si>
    <t xml:space="preserve">S2</t>
  </si>
  <si>
    <t xml:space="preserve">Instantly benchmarks (updated Jul 2026): good B2B cold email reply rates are 5-10%, top performers 15%+.</t>
  </si>
  <si>
    <t xml:space="preserve">https://instantly.ai/blog/cold-email-reply-rate-benchmarks/</t>
  </si>
  <si>
    <t xml:space="preserve">S3</t>
  </si>
  <si>
    <t xml:space="preserve">Recurly churn benchmarks (network data, July 2026): $10-25/month price tier runs 4.29% total monthly churn, 2.99% voluntary. Read from Recurly's page summary; full table not loaded.</t>
  </si>
  <si>
    <t xml:space="preserve">https://recurly.com/research/churn-rate-benchmarks/</t>
  </si>
  <si>
    <t xml:space="preserve">S4</t>
  </si>
  <si>
    <t xml:space="preserve">RetentionCheck: SMB SaaS averages 4.5% monthly churn (42% a year); top reason is the small business closing. Editorial estimate.</t>
  </si>
  <si>
    <t xml:space="preserve">https://retentioncheck.com/churn-benchmarks/smb-saas</t>
  </si>
  <si>
    <t xml:space="preserve">Focus Digital: marketing agency client churn about 1.6%/mo for retainers, 4.2%/mo for project work.</t>
  </si>
  <si>
    <t xml:space="preserve">https://focus-digital.co/average-marketing-agency-churn/</t>
  </si>
  <si>
    <t xml:space="preserve">Focus Digital: SEO service clients churn ~3.2%/mo, paid ads clients ~4.1%/mo.</t>
  </si>
  <si>
    <t xml:space="preserve">Stripe US pricing: 2.9% + 30c per card payment, +1.5% for international cards, +1% if currency conversion is needed.</t>
  </si>
  <si>
    <t xml:space="preserve">https://stripe.com/pricing</t>
  </si>
  <si>
    <t xml:space="preserve">Stripe Billing (subscriptions), pay as you go: 0.7% of Billing volume.</t>
  </si>
  <si>
    <t xml:space="preserve">https://stripe.com/billing/pricing</t>
  </si>
  <si>
    <t xml:space="preserve">VA Masters 2026: Philippines-based VAs cost $3-25/hr, most businesses pay $6.50-15/hr through an agency.</t>
  </si>
  <si>
    <t xml:space="preserve">https://vamasters.com/hiring-a-virtual-assistant-in-the-philippines-heres-what-it-costs/</t>
  </si>
  <si>
    <t xml:space="preserve">BPA tax-prep survey: a Schedule C (single-member LLC) return runs $475-900 under $250k revenue.</t>
  </si>
  <si>
    <t xml:space="preserve">https://bpa.tax/average-tax-preparation-cost-small-businesses/</t>
  </si>
  <si>
    <t xml:space="preserve">S11</t>
  </si>
  <si>
    <t xml:space="preserve">SafetyWing Nomad Insurance Essential: $62.72 per 4 weeks per person, ages 18-39; US coverage costs extra.</t>
  </si>
  <si>
    <t xml:space="preserve">https://safetywing.com/nomad-insurance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</si>
</sst>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\$#,##0"/>
    <numFmt numFmtId="167" formatCode="\$#,##0;[RED]&quot;-$&quot;#,##0"/>
    <numFmt numFmtId="168" formatCode="0%"/>
    <numFmt numFmtId="169" formatCode="0.0%"/>
    <numFmt numFmtId="170" formatCode="\$#,##0.00"/>
    <numFmt numFmtId="171" formatCode="0.0"/>
    <numFmt numFmtId="172" formatCode="0.00"/>
    <numFmt numFmtId="173" formatCode="mmm\ yyyy"/>
    <numFmt numFmtId="174" formatCode="0.0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150F"/>
      <name val="Arial"/>
      <family val="0"/>
      <charset val="1"/>
    </font>
    <font>
      <i val="true"/>
      <sz val="10"/>
      <color rgb="FF7A2E22"/>
      <name val="Arial"/>
      <family val="0"/>
      <charset val="1"/>
    </font>
    <font>
      <b val="true"/>
      <sz val="12"/>
      <color rgb="FF7A2E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b val="true"/>
      <sz val="12"/>
      <color rgb="FF17150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150F"/>
        <bgColor rgb="FF000000"/>
      </patternFill>
    </fill>
    <fill>
      <patternFill patternType="solid">
        <fgColor rgb="FFEFE8DC"/>
        <bgColor rgb="FFFFF8E1"/>
      </patternFill>
    </fill>
    <fill>
      <patternFill patternType="solid">
        <fgColor rgb="FFFFF8E1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4C7"/>
      </bottom>
      <diagonal/>
    </border>
    <border diagonalUp="false" diagonalDown="false">
      <left/>
      <right/>
      <top/>
      <bottom style="thin">
        <color rgb="FF17150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B9A6"/>
      <rgbColor rgb="FF878787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8DC"/>
      <rgbColor rgb="FFFFFF99"/>
      <rgbColor rgb="FF99CCFF"/>
      <rgbColor rgb="FFFF99CC"/>
      <rgbColor rgb="FFCC99FF"/>
      <rgbColor rgb="FFDCD4C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50F"/>
      <rgbColor rgb="FF333300"/>
      <rgbColor rgb="FF7A2E22"/>
      <rgbColor rgb="FF993366"/>
      <rgbColor rgb="FF333399"/>
      <rgbColor rgb="FF2F4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MRR at year end (ESTIMATE)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Summary!B99</c:f>
              <c:strCache>
                <c:ptCount val="1"/>
                <c:pt idx="0">
                  <c:v>Conservative</c:v>
                </c:pt>
              </c:strCache>
            </c:strRef>
          </c:tx>
          <c:spPr>
            <a:solidFill>
              <a:srgbClr val="c9b9a6"/>
            </a:solidFill>
            <a:ln w="0">
              <a:solidFill>
                <a:srgbClr val="c9b9a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Summary!$A$100:$A$104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Summary!$B$100:$B$104</c:f>
              <c:numCache>
                <c:formatCode>General</c:formatCode>
                <c:ptCount val="5"/>
                <c:pt idx="0">
                  <c:v>545.894077823503</c:v>
                </c:pt>
                <c:pt idx="1">
                  <c:v>1148.35157571089</c:v>
                </c:pt>
                <c:pt idx="2">
                  <c:v>1671.56161944915</c:v>
                </c:pt>
                <c:pt idx="3">
                  <c:v>1950.55168618864</c:v>
                </c:pt>
                <c:pt idx="4">
                  <c:v>2123.76402408797</c:v>
                </c:pt>
              </c:numCache>
            </c:numRef>
          </c:val>
        </c:ser>
        <c:ser>
          <c:idx val="1"/>
          <c:order val="1"/>
          <c:tx>
            <c:strRef>
              <c:f>Summary!C99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rgbClr val="7a2e22"/>
            </a:solidFill>
            <a:ln w="0">
              <a:solidFill>
                <a:srgbClr val="7a2e2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Summary!$A$100:$A$104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Summary!$C$100:$C$104</c:f>
              <c:numCache>
                <c:formatCode>General</c:formatCode>
                <c:ptCount val="5"/>
                <c:pt idx="0">
                  <c:v>2393.64129102925</c:v>
                </c:pt>
                <c:pt idx="1">
                  <c:v>5967.9460082938</c:v>
                </c:pt>
                <c:pt idx="2">
                  <c:v>9520.96321787818</c:v>
                </c:pt>
                <c:pt idx="3">
                  <c:v>12210.1598054002</c:v>
                </c:pt>
                <c:pt idx="4">
                  <c:v>14300.8354977334</c:v>
                </c:pt>
              </c:numCache>
            </c:numRef>
          </c:val>
        </c:ser>
        <c:ser>
          <c:idx val="2"/>
          <c:order val="2"/>
          <c:tx>
            <c:strRef>
              <c:f>Summary!D99</c:f>
              <c:strCache>
                <c:ptCount val="1"/>
                <c:pt idx="0">
                  <c:v>Strong</c:v>
                </c:pt>
              </c:strCache>
            </c:strRef>
          </c:tx>
          <c:spPr>
            <a:solidFill>
              <a:srgbClr val="2f4a3a"/>
            </a:solidFill>
            <a:ln w="0">
              <a:solidFill>
                <a:srgbClr val="2f4a3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Summary!$A$100:$A$104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Summary!$D$100:$D$104</c:f>
              <c:numCache>
                <c:formatCode>General</c:formatCode>
                <c:ptCount val="5"/>
                <c:pt idx="0">
                  <c:v>8739.70554896688</c:v>
                </c:pt>
                <c:pt idx="1">
                  <c:v>21635.145917227</c:v>
                </c:pt>
                <c:pt idx="2">
                  <c:v>35918.2712877269</c:v>
                </c:pt>
                <c:pt idx="3">
                  <c:v>49373.6309418824</c:v>
                </c:pt>
                <c:pt idx="4">
                  <c:v>62078.2071349511</c:v>
                </c:pt>
              </c:numCache>
            </c:numRef>
          </c:val>
        </c:ser>
        <c:gapWidth val="150"/>
        <c:overlap val="0"/>
        <c:axId val="31973322"/>
        <c:axId val="45679197"/>
      </c:barChart>
      <c:catAx>
        <c:axId val="3197332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79197"/>
        <c:crosses val="autoZero"/>
        <c:auto val="1"/>
        <c:lblAlgn val="ctr"/>
        <c:lblOffset val="100"/>
        <c:noMultiLvlLbl val="0"/>
      </c:catAx>
      <c:valAx>
        <c:axId val="456791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 per 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733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105</xdr:row>
      <xdr:rowOff>0</xdr:rowOff>
    </xdr:from>
    <xdr:to>
      <xdr:col>3</xdr:col>
      <xdr:colOff>981720</xdr:colOff>
      <xdr:row>122</xdr:row>
      <xdr:rowOff>1080</xdr:rowOff>
    </xdr:to>
    <xdr:graphicFrame>
      <xdr:nvGraphicFramePr>
        <xdr:cNvPr id="0" name="Chart 1"/>
        <xdr:cNvGraphicFramePr/>
      </xdr:nvGraphicFramePr>
      <xdr:xfrm>
        <a:off x="0" y="201931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6" min="2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customFormat="false" ht="15" hidden="false" customHeight="false" outlineLevel="0" collapsed="false">
      <c r="A6" s="5" t="s">
        <v>8</v>
      </c>
      <c r="B6" s="6" t="n">
        <f aca="false">'Monthly Conservative'!S16</f>
        <v>4.96573879950799</v>
      </c>
      <c r="C6" s="6" t="n">
        <f aca="false">'Monthly Conservative'!S28</f>
        <v>10.3532710778688</v>
      </c>
      <c r="D6" s="6" t="n">
        <f aca="false">'Monthly Conservative'!S40</f>
        <v>15.0803372883671</v>
      </c>
      <c r="E6" s="6" t="n">
        <f aca="false">'Monthly Conservative'!S52</f>
        <v>17.6102875097008</v>
      </c>
      <c r="F6" s="6" t="n">
        <f aca="false">'Monthly Conservative'!S64</f>
        <v>19.0341902898418</v>
      </c>
    </row>
    <row r="7" customFormat="false" ht="15" hidden="false" customHeight="false" outlineLevel="0" collapsed="false">
      <c r="A7" s="5" t="s">
        <v>9</v>
      </c>
      <c r="B7" s="6" t="n">
        <f aca="false">'Monthly Conservative'!T16</f>
        <v>0.421947147543057</v>
      </c>
      <c r="C7" s="6" t="n">
        <f aca="false">'Monthly Conservative'!T28</f>
        <v>0.85251647157782</v>
      </c>
      <c r="D7" s="6" t="n">
        <f aca="false">'Monthly Conservative'!T40</f>
        <v>1.228649303083</v>
      </c>
      <c r="E7" s="6" t="n">
        <f aca="false">'Monthly Conservative'!T52</f>
        <v>1.41764029975911</v>
      </c>
      <c r="F7" s="6" t="n">
        <f aca="false">'Monthly Conservative'!T64</f>
        <v>1.51292426761746</v>
      </c>
    </row>
    <row r="8" customFormat="false" ht="15" hidden="false" customHeight="false" outlineLevel="0" collapsed="false">
      <c r="A8" s="5" t="s">
        <v>10</v>
      </c>
      <c r="B8" s="6" t="n">
        <f aca="false">'Monthly Conservative'!U16</f>
        <v>0</v>
      </c>
      <c r="C8" s="6" t="n">
        <f aca="false">'Monthly Conservative'!U28</f>
        <v>0</v>
      </c>
      <c r="D8" s="6" t="n">
        <f aca="false">'Monthly Conservative'!U40</f>
        <v>0</v>
      </c>
      <c r="E8" s="6" t="n">
        <f aca="false">'Monthly Conservative'!U52</f>
        <v>0</v>
      </c>
      <c r="F8" s="6" t="n">
        <f aca="false">'Monthly Conservative'!U64</f>
        <v>0</v>
      </c>
    </row>
    <row r="9" customFormat="false" ht="15" hidden="false" customHeight="false" outlineLevel="0" collapsed="false">
      <c r="A9" s="5" t="s">
        <v>11</v>
      </c>
      <c r="B9" s="6" t="n">
        <f aca="false">'Monthly Conservative'!V16</f>
        <v>2.7379863058769</v>
      </c>
      <c r="C9" s="6" t="n">
        <f aca="false">'Monthly Conservative'!V28</f>
        <v>7.20819025324038</v>
      </c>
      <c r="D9" s="6" t="n">
        <f aca="false">'Monthly Conservative'!V40</f>
        <v>12.8553309703077</v>
      </c>
      <c r="E9" s="6" t="n">
        <f aca="false">'Monthly Conservative'!V52</f>
        <v>18.5736680539226</v>
      </c>
      <c r="F9" s="6" t="n">
        <f aca="false">'Monthly Conservative'!V64</f>
        <v>24.330012085371</v>
      </c>
    </row>
    <row r="10" customFormat="false" ht="15" hidden="false" customHeight="false" outlineLevel="0" collapsed="false">
      <c r="A10" s="5" t="s">
        <v>12</v>
      </c>
      <c r="B10" s="6" t="n">
        <f aca="false">'Monthly Conservative'!X16</f>
        <v>0.419042240326193</v>
      </c>
      <c r="C10" s="6" t="n">
        <f aca="false">'Monthly Conservative'!X28</f>
        <v>1.12057875494466</v>
      </c>
      <c r="D10" s="6" t="n">
        <f aca="false">'Monthly Conservative'!X40</f>
        <v>1.630898659145</v>
      </c>
      <c r="E10" s="6" t="n">
        <f aca="false">'Monthly Conservative'!X52</f>
        <v>1.90279278094599</v>
      </c>
      <c r="F10" s="6" t="n">
        <f aca="false">'Monthly Conservative'!X64</f>
        <v>2.05471145574593</v>
      </c>
    </row>
    <row r="11" customFormat="false" ht="15" hidden="false" customHeight="false" outlineLevel="0" collapsed="false">
      <c r="A11" s="5" t="s">
        <v>13</v>
      </c>
      <c r="B11" s="6" t="n">
        <f aca="false">'Monthly Conservative'!Z16</f>
        <v>0</v>
      </c>
      <c r="C11" s="6" t="n">
        <f aca="false">'Monthly Conservative'!Z28</f>
        <v>0</v>
      </c>
      <c r="D11" s="6" t="n">
        <f aca="false">'Monthly Conservative'!Z40</f>
        <v>0</v>
      </c>
      <c r="E11" s="6" t="n">
        <f aca="false">'Monthly Conservative'!Z52</f>
        <v>0</v>
      </c>
      <c r="F11" s="6" t="n">
        <f aca="false">'Monthly Conservative'!Z64</f>
        <v>0.85612977322747</v>
      </c>
    </row>
    <row r="12" customFormat="false" ht="15" hidden="false" customHeight="false" outlineLevel="0" collapsed="false">
      <c r="A12" s="5" t="s">
        <v>14</v>
      </c>
      <c r="B12" s="6" t="n">
        <f aca="false">SUM('Monthly Conservative'!J5:J16)</f>
        <v>9.12662101958966</v>
      </c>
      <c r="C12" s="6" t="n">
        <f aca="false">SUM('Monthly Conservative'!J17:J28)</f>
        <v>14.900679824545</v>
      </c>
      <c r="D12" s="6" t="n">
        <f aca="false">SUM('Monthly Conservative'!J29:J40)</f>
        <v>18.8238023902243</v>
      </c>
      <c r="E12" s="6" t="n">
        <f aca="false">SUM('Monthly Conservative'!J41:J52)</f>
        <v>19.0611236120497</v>
      </c>
      <c r="F12" s="6" t="n">
        <f aca="false">SUM('Monthly Conservative'!J53:J64)</f>
        <v>19.1878134381613</v>
      </c>
    </row>
    <row r="13" customFormat="false" ht="15" hidden="false" customHeight="false" outlineLevel="0" collapsed="false">
      <c r="A13" s="5" t="s">
        <v>15</v>
      </c>
      <c r="B13" s="6" t="n">
        <f aca="false">SUM('Monthly Conservative'!W5:W16)</f>
        <v>1.54854602783709</v>
      </c>
      <c r="C13" s="6" t="n">
        <f aca="false">SUM('Monthly Conservative'!W17:W28)</f>
        <v>5.50641506425858</v>
      </c>
      <c r="D13" s="6" t="n">
        <f aca="false">SUM('Monthly Conservative'!W29:W40)</f>
        <v>9.20289077456709</v>
      </c>
      <c r="E13" s="6" t="n">
        <f aca="false">SUM('Monthly Conservative'!W41:W52)</f>
        <v>11.7675127271479</v>
      </c>
      <c r="F13" s="6" t="n">
        <f aca="false">SUM('Monthly Conservative'!W53:W64)</f>
        <v>13.0635514650032</v>
      </c>
    </row>
    <row r="14" customFormat="false" ht="15" hidden="false" customHeight="false" outlineLevel="0" collapsed="false">
      <c r="A14" s="5" t="s">
        <v>16</v>
      </c>
      <c r="B14" s="7" t="n">
        <f aca="false">'Monthly Conservative'!AJ16</f>
        <v>545.894077823503</v>
      </c>
      <c r="C14" s="7" t="n">
        <f aca="false">'Monthly Conservative'!AJ28</f>
        <v>1148.35157571089</v>
      </c>
      <c r="D14" s="7" t="n">
        <f aca="false">'Monthly Conservative'!AJ40</f>
        <v>1671.56161944915</v>
      </c>
      <c r="E14" s="7" t="n">
        <f aca="false">'Monthly Conservative'!AJ52</f>
        <v>1950.55168618864</v>
      </c>
      <c r="F14" s="7" t="n">
        <f aca="false">'Monthly Conservative'!AJ64</f>
        <v>2123.76402408797</v>
      </c>
    </row>
    <row r="15" customFormat="false" ht="15" hidden="false" customHeight="false" outlineLevel="0" collapsed="false">
      <c r="A15" s="5" t="s">
        <v>17</v>
      </c>
      <c r="B15" s="7" t="n">
        <f aca="false">SUM('Monthly Conservative'!AI5:AI16)</f>
        <v>4435.42353055435</v>
      </c>
      <c r="C15" s="7" t="n">
        <f aca="false">SUM('Monthly Conservative'!AI17:AI28)</f>
        <v>13393.7574236227</v>
      </c>
      <c r="D15" s="7" t="n">
        <f aca="false">SUM('Monthly Conservative'!AI29:AI40)</f>
        <v>20836.2465721865</v>
      </c>
      <c r="E15" s="7" t="n">
        <f aca="false">SUM('Monthly Conservative'!AI41:AI52)</f>
        <v>25742.9860544655</v>
      </c>
      <c r="F15" s="7" t="n">
        <f aca="false">SUM('Monthly Conservative'!AI53:AI64)</f>
        <v>28415.8311716259</v>
      </c>
    </row>
    <row r="16" customFormat="false" ht="15" hidden="false" customHeight="false" outlineLevel="0" collapsed="false">
      <c r="A16" s="5" t="s">
        <v>18</v>
      </c>
      <c r="B16" s="7" t="n">
        <f aca="false">SUM('Monthly Conservative'!AW5:AW16)</f>
        <v>5013.83550268303</v>
      </c>
      <c r="C16" s="7" t="n">
        <f aca="false">SUM('Monthly Conservative'!AW17:AW28)</f>
        <v>6737.18112841771</v>
      </c>
      <c r="D16" s="7" t="n">
        <f aca="false">SUM('Monthly Conservative'!AW29:AW40)</f>
        <v>8000.64324100092</v>
      </c>
      <c r="E16" s="7" t="n">
        <f aca="false">SUM('Monthly Conservative'!AW41:AW52)</f>
        <v>9699.7267752369</v>
      </c>
      <c r="F16" s="7" t="n">
        <f aca="false">SUM('Monthly Conservative'!AW53:AW64)</f>
        <v>16011.7802611033</v>
      </c>
    </row>
    <row r="17" customFormat="false" ht="15" hidden="false" customHeight="false" outlineLevel="0" collapsed="false">
      <c r="A17" s="5" t="s">
        <v>19</v>
      </c>
      <c r="B17" s="7" t="n">
        <f aca="false">SUM('Monthly Conservative'!AS5:AS16)</f>
        <v>0</v>
      </c>
      <c r="C17" s="7" t="n">
        <f aca="false">SUM('Monthly Conservative'!AS17:AS28)</f>
        <v>0</v>
      </c>
      <c r="D17" s="7" t="n">
        <f aca="false">SUM('Monthly Conservative'!AS29:AS40)</f>
        <v>574.4444587982</v>
      </c>
      <c r="E17" s="7" t="n">
        <f aca="false">SUM('Monthly Conservative'!AS41:AS52)</f>
        <v>1811.05921927088</v>
      </c>
      <c r="F17" s="7" t="n">
        <f aca="false">SUM('Monthly Conservative'!AS53:AS64)</f>
        <v>2500.61529837798</v>
      </c>
    </row>
    <row r="18" customFormat="false" ht="15" hidden="false" customHeight="false" outlineLevel="0" collapsed="false">
      <c r="A18" s="5" t="s">
        <v>20</v>
      </c>
      <c r="B18" s="8" t="n">
        <f aca="false">SUM('Monthly Conservative'!AX5:AX16)</f>
        <v>-578.411972128688</v>
      </c>
      <c r="C18" s="8" t="n">
        <f aca="false">SUM('Monthly Conservative'!AX17:AX28)</f>
        <v>6656.57629520496</v>
      </c>
      <c r="D18" s="8" t="n">
        <f aca="false">SUM('Monthly Conservative'!AX29:AX40)</f>
        <v>12835.6033311855</v>
      </c>
      <c r="E18" s="8" t="n">
        <f aca="false">SUM('Monthly Conservative'!AX41:AX52)</f>
        <v>16043.2592792286</v>
      </c>
      <c r="F18" s="8" t="n">
        <f aca="false">SUM('Monthly Conservative'!AX53:AX64)</f>
        <v>12404.0509105227</v>
      </c>
    </row>
    <row r="19" customFormat="false" ht="15" hidden="false" customHeight="false" outlineLevel="0" collapsed="false">
      <c r="A19" s="5" t="s">
        <v>21</v>
      </c>
      <c r="B19" s="8" t="n">
        <f aca="false">SUM('Monthly Conservative'!AZ5:AZ16)</f>
        <v>-826.015447025431</v>
      </c>
      <c r="C19" s="8" t="n">
        <f aca="false">SUM('Monthly Conservative'!AZ17:AZ28)</f>
        <v>4659.60340664347</v>
      </c>
      <c r="D19" s="8" t="n">
        <f aca="false">SUM('Monthly Conservative'!AZ29:AZ40)</f>
        <v>8984.92233182988</v>
      </c>
      <c r="E19" s="8" t="n">
        <f aca="false">SUM('Monthly Conservative'!AZ41:AZ52)</f>
        <v>11230.28149546</v>
      </c>
      <c r="F19" s="8" t="n">
        <f aca="false">SUM('Monthly Conservative'!AZ53:AZ64)</f>
        <v>7609.05459846219</v>
      </c>
    </row>
    <row r="20" customFormat="false" ht="15" hidden="false" customHeight="false" outlineLevel="0" collapsed="false">
      <c r="A20" s="5" t="s">
        <v>22</v>
      </c>
      <c r="B20" s="6" t="n">
        <f aca="false">'Monthly Conservative'!BE16</f>
        <v>11.8022385549305</v>
      </c>
      <c r="C20" s="6" t="n">
        <f aca="false">'Monthly Conservative'!BE28</f>
        <v>15.781942657554</v>
      </c>
      <c r="D20" s="6" t="n">
        <f aca="false">'Monthly Conservative'!BE40</f>
        <v>19.8777932661298</v>
      </c>
      <c r="E20" s="6" t="n">
        <f aca="false">'Monthly Conservative'!BE52</f>
        <v>21.2368224741734</v>
      </c>
      <c r="F20" s="6" t="n">
        <f aca="false">'Monthly Conservative'!BE64</f>
        <v>22.0553631940838</v>
      </c>
    </row>
    <row r="21" customFormat="false" ht="15" hidden="false" customHeight="false" outlineLevel="0" collapsed="false">
      <c r="A21" s="5" t="s">
        <v>23</v>
      </c>
      <c r="B21" s="6" t="n">
        <f aca="false">'Monthly Conservative'!BF16</f>
        <v>0</v>
      </c>
      <c r="C21" s="6" t="n">
        <f aca="false">'Monthly Conservative'!BF28</f>
        <v>0</v>
      </c>
      <c r="D21" s="6" t="n">
        <f aca="false">'Monthly Conservative'!BF40</f>
        <v>1.87779326612977</v>
      </c>
      <c r="E21" s="6" t="n">
        <f aca="false">'Monthly Conservative'!BF52</f>
        <v>3.23682247417339</v>
      </c>
      <c r="F21" s="6" t="n">
        <f aca="false">'Monthly Conservative'!BF64</f>
        <v>4.05536319408381</v>
      </c>
    </row>
    <row r="22" customFormat="false" ht="15" hidden="false" customHeight="false" outlineLevel="0" collapsed="false">
      <c r="A22" s="9" t="s">
        <v>24</v>
      </c>
      <c r="B22" s="10" t="n">
        <f aca="false">IF(MIN('Monthly Conservative'!BG5:BG64)=999,"Not in 5 yrs",MIN('Monthly Conservative'!BG5:BG64))</f>
        <v>8</v>
      </c>
    </row>
    <row r="23" customFormat="false" ht="15" hidden="false" customHeight="false" outlineLevel="0" collapsed="false">
      <c r="A23" s="9" t="s">
        <v>25</v>
      </c>
      <c r="B23" s="10" t="n">
        <f aca="false">IF(MAX('Monthly Conservative'!Y5:Y64)=0,"Not in 5 yrs",MAX('Monthly Conservative'!Y5:Y64))</f>
        <v>56</v>
      </c>
    </row>
    <row r="24" customFormat="false" ht="15" hidden="false" customHeight="false" outlineLevel="0" collapsed="false">
      <c r="A24" s="9" t="s">
        <v>26</v>
      </c>
      <c r="B24" s="10" t="str">
        <f aca="false">IF(MIN('Monthly Conservative'!BI5:BI64)=999,"Not in 5 yrs",MIN('Monthly Conservative'!BI5:BI64))</f>
        <v>Not in 5 yrs</v>
      </c>
    </row>
    <row r="25" customFormat="false" ht="15" hidden="false" customHeight="false" outlineLevel="0" collapsed="false">
      <c r="A25" s="9" t="s">
        <v>27</v>
      </c>
      <c r="B25" s="10" t="str">
        <f aca="false">IF(MIN('Monthly Conservative'!BH5:BH64)=999,"Not in 5 yrs",MIN('Monthly Conservative'!BH5:BH64))</f>
        <v>Not in 5 yrs</v>
      </c>
    </row>
    <row r="26" customFormat="false" ht="15" hidden="false" customHeight="false" outlineLevel="0" collapsed="false">
      <c r="A26" s="9" t="s">
        <v>28</v>
      </c>
      <c r="B26" s="11" t="n">
        <f aca="false">'Monthly Conservative'!BA64</f>
        <v>31657.8463853701</v>
      </c>
    </row>
    <row r="28" customFormat="false" ht="15" hidden="false" customHeight="false" outlineLevel="0" collapsed="false">
      <c r="A28" s="3" t="s">
        <v>29</v>
      </c>
    </row>
    <row r="29" customFormat="false" ht="15" hidden="false" customHeight="false" outlineLevel="0" collapsed="false">
      <c r="A29" s="4"/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</row>
    <row r="30" customFormat="false" ht="15" hidden="false" customHeight="false" outlineLevel="0" collapsed="false">
      <c r="A30" s="5" t="s">
        <v>8</v>
      </c>
      <c r="B30" s="6" t="n">
        <f aca="false">'Monthly Base'!S16</f>
        <v>19.2566561285882</v>
      </c>
      <c r="C30" s="6" t="n">
        <f aca="false">'Monthly Base'!S28</f>
        <v>43.5167653867966</v>
      </c>
      <c r="D30" s="6" t="n">
        <f aca="false">'Monthly Base'!S40</f>
        <v>67.9143269317268</v>
      </c>
      <c r="E30" s="6" t="n">
        <f aca="false">'Monthly Base'!S52</f>
        <v>85.1976396989493</v>
      </c>
      <c r="F30" s="6" t="n">
        <f aca="false">'Monthly Base'!S64</f>
        <v>97.5713048092306</v>
      </c>
    </row>
    <row r="31" customFormat="false" ht="15" hidden="false" customHeight="false" outlineLevel="0" collapsed="false">
      <c r="A31" s="5" t="s">
        <v>9</v>
      </c>
      <c r="B31" s="6" t="n">
        <f aca="false">'Monthly Base'!T16</f>
        <v>2.34020589783644</v>
      </c>
      <c r="C31" s="6" t="n">
        <f aca="false">'Monthly Base'!T28</f>
        <v>5.07479005371113</v>
      </c>
      <c r="D31" s="6" t="n">
        <f aca="false">'Monthly Base'!T40</f>
        <v>7.73283922460722</v>
      </c>
      <c r="E31" s="6" t="n">
        <f aca="false">'Monthly Base'!T52</f>
        <v>9.45741262262596</v>
      </c>
      <c r="F31" s="6" t="n">
        <f aca="false">'Monthly Base'!T64</f>
        <v>10.5863776872135</v>
      </c>
    </row>
    <row r="32" customFormat="false" ht="15" hidden="false" customHeight="false" outlineLevel="0" collapsed="false">
      <c r="A32" s="5" t="s">
        <v>10</v>
      </c>
      <c r="B32" s="6" t="n">
        <f aca="false">'Monthly Base'!U16</f>
        <v>0</v>
      </c>
      <c r="C32" s="6" t="n">
        <f aca="false">'Monthly Base'!U28</f>
        <v>0</v>
      </c>
      <c r="D32" s="6" t="n">
        <f aca="false">'Monthly Base'!U40</f>
        <v>0</v>
      </c>
      <c r="E32" s="6" t="n">
        <f aca="false">'Monthly Base'!U52</f>
        <v>0</v>
      </c>
      <c r="F32" s="6" t="n">
        <f aca="false">'Monthly Base'!U64</f>
        <v>0</v>
      </c>
    </row>
    <row r="33" customFormat="false" ht="15" hidden="false" customHeight="false" outlineLevel="0" collapsed="false">
      <c r="A33" s="5" t="s">
        <v>11</v>
      </c>
      <c r="B33" s="6" t="n">
        <f aca="false">'Monthly Base'!V16</f>
        <v>9.61654124257462</v>
      </c>
      <c r="C33" s="6" t="n">
        <f aca="false">'Monthly Base'!V28</f>
        <v>25.3796582830195</v>
      </c>
      <c r="D33" s="6" t="n">
        <f aca="false">'Monthly Base'!V40</f>
        <v>45.7403666878273</v>
      </c>
      <c r="E33" s="6" t="n">
        <f aca="false">'Monthly Base'!V52</f>
        <v>66.9406274819768</v>
      </c>
      <c r="F33" s="6" t="n">
        <f aca="false">'Monthly Base'!V64</f>
        <v>88.7287113183859</v>
      </c>
    </row>
    <row r="34" customFormat="false" ht="15" hidden="false" customHeight="false" outlineLevel="0" collapsed="false">
      <c r="A34" s="5" t="s">
        <v>12</v>
      </c>
      <c r="B34" s="6" t="n">
        <f aca="false">'Monthly Base'!X16</f>
        <v>4.31937240528492</v>
      </c>
      <c r="C34" s="6" t="n">
        <f aca="false">'Monthly Base'!X28</f>
        <v>9.71831108810154</v>
      </c>
      <c r="D34" s="6" t="n">
        <f aca="false">'Monthly Base'!X40</f>
        <v>15.1294332312668</v>
      </c>
      <c r="E34" s="6" t="n">
        <f aca="false">'Monthly Base'!X52</f>
        <v>18.9310104643151</v>
      </c>
      <c r="F34" s="6" t="n">
        <f aca="false">'Monthly Base'!X64</f>
        <v>21.6315364992888</v>
      </c>
    </row>
    <row r="35" customFormat="false" ht="15" hidden="false" customHeight="false" outlineLevel="0" collapsed="false">
      <c r="A35" s="5" t="s">
        <v>13</v>
      </c>
      <c r="B35" s="6" t="n">
        <f aca="false">'Monthly Base'!Z16</f>
        <v>0</v>
      </c>
      <c r="C35" s="6" t="n">
        <f aca="false">'Monthly Base'!Z28</f>
        <v>14.5774666321523</v>
      </c>
      <c r="D35" s="6" t="n">
        <f aca="false">'Monthly Base'!Z40</f>
        <v>22.6941498469002</v>
      </c>
      <c r="E35" s="6" t="n">
        <f aca="false">'Monthly Base'!Z52</f>
        <v>28.3965156964726</v>
      </c>
      <c r="F35" s="6" t="n">
        <f aca="false">'Monthly Base'!Z64</f>
        <v>32.4473047489332</v>
      </c>
    </row>
    <row r="36" customFormat="false" ht="15" hidden="false" customHeight="false" outlineLevel="0" collapsed="false">
      <c r="A36" s="5" t="s">
        <v>14</v>
      </c>
      <c r="B36" s="6" t="n">
        <f aca="false">SUM('Monthly Base'!J5:J16)</f>
        <v>32.0551374752487</v>
      </c>
      <c r="C36" s="6" t="n">
        <f aca="false">SUM('Monthly Base'!J17:J28)</f>
        <v>52.5437234681497</v>
      </c>
      <c r="D36" s="6" t="n">
        <f aca="false">SUM('Monthly Base'!J29:J40)</f>
        <v>67.869028016026</v>
      </c>
      <c r="E36" s="6" t="n">
        <f aca="false">SUM('Monthly Base'!J41:J52)</f>
        <v>70.6675359804983</v>
      </c>
      <c r="F36" s="6" t="n">
        <f aca="false">SUM('Monthly Base'!J53:J64)</f>
        <v>72.6269461213635</v>
      </c>
    </row>
    <row r="37" customFormat="false" ht="15" hidden="false" customHeight="false" outlineLevel="0" collapsed="false">
      <c r="A37" s="5" t="s">
        <v>15</v>
      </c>
      <c r="B37" s="6" t="n">
        <f aca="false">SUM('Monthly Base'!W5:W16)</f>
        <v>3.72669657902188</v>
      </c>
      <c r="C37" s="6" t="n">
        <f aca="false">SUM('Monthly Base'!W17:W28)</f>
        <v>14.5148481257551</v>
      </c>
      <c r="D37" s="6" t="n">
        <f aca="false">SUM('Monthly Base'!W29:W40)</f>
        <v>26.5609214168343</v>
      </c>
      <c r="E37" s="6" t="n">
        <f aca="false">SUM('Monthly Base'!W41:W52)</f>
        <v>36.8194672593523</v>
      </c>
      <c r="F37" s="6" t="n">
        <f aca="false">SUM('Monthly Base'!W53:W64)</f>
        <v>43.8726572610084</v>
      </c>
    </row>
    <row r="38" customFormat="false" ht="15" hidden="false" customHeight="false" outlineLevel="0" collapsed="false">
      <c r="A38" s="5" t="s">
        <v>16</v>
      </c>
      <c r="B38" s="7" t="n">
        <f aca="false">'Monthly Base'!AJ16</f>
        <v>2393.64129102925</v>
      </c>
      <c r="C38" s="7" t="n">
        <f aca="false">'Monthly Base'!AJ28</f>
        <v>5967.9460082938</v>
      </c>
      <c r="D38" s="7" t="n">
        <f aca="false">'Monthly Base'!AJ40</f>
        <v>9520.96321787818</v>
      </c>
      <c r="E38" s="7" t="n">
        <f aca="false">'Monthly Base'!AJ52</f>
        <v>12210.1598054002</v>
      </c>
      <c r="F38" s="7" t="n">
        <f aca="false">'Monthly Base'!AJ64</f>
        <v>14300.8354977334</v>
      </c>
    </row>
    <row r="39" customFormat="false" ht="15" hidden="false" customHeight="false" outlineLevel="0" collapsed="false">
      <c r="A39" s="5" t="s">
        <v>17</v>
      </c>
      <c r="B39" s="7" t="n">
        <f aca="false">SUM('Monthly Base'!AI5:AI16)</f>
        <v>18448.1549537001</v>
      </c>
      <c r="C39" s="7" t="n">
        <f aca="false">SUM('Monthly Base'!AI17:AI28)</f>
        <v>61579.1978757126</v>
      </c>
      <c r="D39" s="7" t="n">
        <f aca="false">SUM('Monthly Base'!AI29:AI40)</f>
        <v>108866.066912127</v>
      </c>
      <c r="E39" s="7" t="n">
        <f aca="false">SUM('Monthly Base'!AI41:AI52)</f>
        <v>148202.102304387</v>
      </c>
      <c r="F39" s="7" t="n">
        <f aca="false">SUM('Monthly Base'!AI53:AI64)</f>
        <v>178226.465665236</v>
      </c>
    </row>
    <row r="40" customFormat="false" ht="15" hidden="false" customHeight="false" outlineLevel="0" collapsed="false">
      <c r="A40" s="5" t="s">
        <v>18</v>
      </c>
      <c r="B40" s="7" t="n">
        <f aca="false">SUM('Monthly Base'!AW5:AW16)</f>
        <v>4980.84414490888</v>
      </c>
      <c r="C40" s="7" t="n">
        <f aca="false">SUM('Monthly Base'!AW17:AW28)</f>
        <v>14875.094366374</v>
      </c>
      <c r="D40" s="7" t="n">
        <f aca="false">SUM('Monthly Base'!AW29:AW40)</f>
        <v>23239.4179292994</v>
      </c>
      <c r="E40" s="7" t="n">
        <f aca="false">SUM('Monthly Base'!AW41:AW52)</f>
        <v>31491.6074547077</v>
      </c>
      <c r="F40" s="7" t="n">
        <f aca="false">SUM('Monthly Base'!AW53:AW64)</f>
        <v>37384.523239621</v>
      </c>
    </row>
    <row r="41" customFormat="false" ht="15" hidden="false" customHeight="false" outlineLevel="0" collapsed="false">
      <c r="A41" s="5" t="s">
        <v>19</v>
      </c>
      <c r="B41" s="7" t="n">
        <f aca="false">SUM('Monthly Base'!AS5:AS16)</f>
        <v>0</v>
      </c>
      <c r="C41" s="7" t="n">
        <f aca="false">SUM('Monthly Base'!AS17:AS28)</f>
        <v>2235.39325010636</v>
      </c>
      <c r="D41" s="7" t="n">
        <f aca="false">SUM('Monthly Base'!AS29:AS40)</f>
        <v>10331.0351763441</v>
      </c>
      <c r="E41" s="7" t="n">
        <f aca="false">SUM('Monthly Base'!AS41:AS52)</f>
        <v>15821.569197481</v>
      </c>
      <c r="F41" s="7" t="n">
        <f aca="false">SUM('Monthly Base'!AS53:AS64)</f>
        <v>19668.4199701327</v>
      </c>
    </row>
    <row r="42" customFormat="false" ht="15" hidden="false" customHeight="false" outlineLevel="0" collapsed="false">
      <c r="A42" s="5" t="s">
        <v>20</v>
      </c>
      <c r="B42" s="8" t="n">
        <f aca="false">SUM('Monthly Base'!AX5:AX16)</f>
        <v>13467.3108087912</v>
      </c>
      <c r="C42" s="8" t="n">
        <f aca="false">SUM('Monthly Base'!AX17:AX28)</f>
        <v>46704.1035093386</v>
      </c>
      <c r="D42" s="8" t="n">
        <f aca="false">SUM('Monthly Base'!AX29:AX40)</f>
        <v>85626.6489828274</v>
      </c>
      <c r="E42" s="8" t="n">
        <f aca="false">SUM('Monthly Base'!AX41:AX52)</f>
        <v>116710.49484968</v>
      </c>
      <c r="F42" s="8" t="n">
        <f aca="false">SUM('Monthly Base'!AX53:AX64)</f>
        <v>140841.942425615</v>
      </c>
    </row>
    <row r="43" customFormat="false" ht="15" hidden="false" customHeight="false" outlineLevel="0" collapsed="false">
      <c r="A43" s="5" t="s">
        <v>21</v>
      </c>
      <c r="B43" s="8" t="n">
        <f aca="false">SUM('Monthly Base'!AZ5:AZ16)</f>
        <v>9620.08104963208</v>
      </c>
      <c r="C43" s="8" t="n">
        <f aca="false">SUM('Monthly Base'!AZ17:AZ28)</f>
        <v>33558.3527573631</v>
      </c>
      <c r="D43" s="8" t="n">
        <f aca="false">SUM('Monthly Base'!AZ29:AZ40)</f>
        <v>61651.1872676357</v>
      </c>
      <c r="E43" s="8" t="n">
        <f aca="false">SUM('Monthly Base'!AZ41:AZ52)</f>
        <v>84031.5562917693</v>
      </c>
      <c r="F43" s="8" t="n">
        <f aca="false">SUM('Monthly Base'!AZ53:AZ64)</f>
        <v>101406.198546443</v>
      </c>
    </row>
    <row r="44" customFormat="false" ht="15" hidden="false" customHeight="false" outlineLevel="0" collapsed="false">
      <c r="A44" s="5" t="s">
        <v>22</v>
      </c>
      <c r="B44" s="6" t="n">
        <f aca="false">'Monthly Base'!BE16</f>
        <v>19.5008434163792</v>
      </c>
      <c r="C44" s="6" t="n">
        <f aca="false">'Monthly Base'!BE28</f>
        <v>33.7030523000041</v>
      </c>
      <c r="D44" s="6" t="n">
        <f aca="false">'Monthly Base'!BE40</f>
        <v>47.5561634827237</v>
      </c>
      <c r="E44" s="6" t="n">
        <f aca="false">'Monthly Base'!BE52</f>
        <v>55.4328158102503</v>
      </c>
      <c r="F44" s="6" t="n">
        <f aca="false">'Monthly Base'!BE64</f>
        <v>61.0278201509841</v>
      </c>
    </row>
    <row r="45" customFormat="false" ht="15" hidden="false" customHeight="false" outlineLevel="0" collapsed="false">
      <c r="A45" s="5" t="s">
        <v>23</v>
      </c>
      <c r="B45" s="6" t="n">
        <f aca="false">'Monthly Base'!BF16</f>
        <v>0</v>
      </c>
      <c r="C45" s="6" t="n">
        <f aca="false">'Monthly Base'!BF28</f>
        <v>8.7030523000041</v>
      </c>
      <c r="D45" s="6" t="n">
        <f aca="false">'Monthly Base'!BF40</f>
        <v>22.5561634827237</v>
      </c>
      <c r="E45" s="6" t="n">
        <f aca="false">'Monthly Base'!BF52</f>
        <v>30.4328158102503</v>
      </c>
      <c r="F45" s="6" t="n">
        <f aca="false">'Monthly Base'!BF64</f>
        <v>36.0278201509841</v>
      </c>
    </row>
    <row r="46" customFormat="false" ht="15" hidden="false" customHeight="false" outlineLevel="0" collapsed="false">
      <c r="A46" s="9" t="s">
        <v>24</v>
      </c>
      <c r="B46" s="10" t="n">
        <f aca="false">IF(MIN('Monthly Base'!BG5:BG64)=999,"Not in 5 yrs",MIN('Monthly Base'!BG5:BG64))</f>
        <v>2</v>
      </c>
    </row>
    <row r="47" customFormat="false" ht="15" hidden="false" customHeight="false" outlineLevel="0" collapsed="false">
      <c r="A47" s="9" t="s">
        <v>25</v>
      </c>
      <c r="B47" s="10" t="n">
        <f aca="false">IF(MAX('Monthly Base'!Y5:Y64)=0,"Not in 5 yrs",MAX('Monthly Base'!Y5:Y64))</f>
        <v>13</v>
      </c>
    </row>
    <row r="48" customFormat="false" ht="15" hidden="false" customHeight="false" outlineLevel="0" collapsed="false">
      <c r="A48" s="9" t="s">
        <v>26</v>
      </c>
      <c r="B48" s="10" t="n">
        <f aca="false">IF(MIN('Monthly Base'!BI5:BI64)=999,"Not in 5 yrs",MIN('Monthly Base'!BI5:BI64))</f>
        <v>55</v>
      </c>
    </row>
    <row r="49" customFormat="false" ht="15" hidden="false" customHeight="false" outlineLevel="0" collapsed="false">
      <c r="A49" s="9" t="s">
        <v>27</v>
      </c>
      <c r="B49" s="10" t="str">
        <f aca="false">IF(MIN('Monthly Base'!BH5:BH64)=999,"Not in 5 yrs",MIN('Monthly Base'!BH5:BH64))</f>
        <v>Not in 5 yrs</v>
      </c>
    </row>
    <row r="50" customFormat="false" ht="15" hidden="false" customHeight="false" outlineLevel="0" collapsed="false">
      <c r="A50" s="9" t="s">
        <v>28</v>
      </c>
      <c r="B50" s="11" t="n">
        <f aca="false">'Monthly Base'!BA64</f>
        <v>290267.375912843</v>
      </c>
    </row>
    <row r="52" customFormat="false" ht="15" hidden="false" customHeight="false" outlineLevel="0" collapsed="false">
      <c r="A52" s="3" t="s">
        <v>30</v>
      </c>
    </row>
    <row r="53" customFormat="false" ht="15" hidden="false" customHeight="false" outlineLevel="0" collapsed="false">
      <c r="A53" s="4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</row>
    <row r="54" customFormat="false" ht="15" hidden="false" customHeight="false" outlineLevel="0" collapsed="false">
      <c r="A54" s="5" t="s">
        <v>8</v>
      </c>
      <c r="B54" s="6" t="n">
        <f aca="false">'Monthly Strong'!S16</f>
        <v>47.4793916142209</v>
      </c>
      <c r="C54" s="6" t="n">
        <f aca="false">'Monthly Strong'!S28</f>
        <v>107.650757064353</v>
      </c>
      <c r="D54" s="6" t="n">
        <f aca="false">'Monthly Strong'!S40</f>
        <v>172.929711827932</v>
      </c>
      <c r="E54" s="6" t="n">
        <f aca="false">'Monthly Strong'!S52</f>
        <v>229.822141715202</v>
      </c>
      <c r="F54" s="6" t="n">
        <f aca="false">'Monthly Strong'!S64</f>
        <v>279.079101436617</v>
      </c>
    </row>
    <row r="55" customFormat="false" ht="15" hidden="false" customHeight="false" outlineLevel="0" collapsed="false">
      <c r="A55" s="5" t="s">
        <v>9</v>
      </c>
      <c r="B55" s="6" t="n">
        <f aca="false">'Monthly Strong'!T16</f>
        <v>7.58549523186235</v>
      </c>
      <c r="C55" s="6" t="n">
        <f aca="false">'Monthly Strong'!T28</f>
        <v>16.5193940315078</v>
      </c>
      <c r="D55" s="6" t="n">
        <f aca="false">'Monthly Strong'!T40</f>
        <v>25.9675024243195</v>
      </c>
      <c r="E55" s="6" t="n">
        <f aca="false">'Monthly Strong'!T52</f>
        <v>33.8179211753335</v>
      </c>
      <c r="F55" s="6" t="n">
        <f aca="false">'Monthly Strong'!T64</f>
        <v>40.3807751768726</v>
      </c>
    </row>
    <row r="56" customFormat="false" ht="15" hidden="false" customHeight="false" outlineLevel="0" collapsed="false">
      <c r="A56" s="5" t="s">
        <v>10</v>
      </c>
      <c r="B56" s="6" t="n">
        <f aca="false">'Monthly Strong'!U16</f>
        <v>3.40792630880219</v>
      </c>
      <c r="C56" s="6" t="n">
        <f aca="false">'Monthly Strong'!U28</f>
        <v>7.58201171600541</v>
      </c>
      <c r="D56" s="6" t="n">
        <f aca="false">'Monthly Strong'!U40</f>
        <v>12.1257869085492</v>
      </c>
      <c r="E56" s="6" t="n">
        <f aca="false">'Monthly Strong'!U52</f>
        <v>16.0627482149534</v>
      </c>
      <c r="F56" s="6" t="n">
        <f aca="false">'Monthly Strong'!U64</f>
        <v>19.4712077262019</v>
      </c>
    </row>
    <row r="57" customFormat="false" ht="15" hidden="false" customHeight="false" outlineLevel="0" collapsed="false">
      <c r="A57" s="5" t="s">
        <v>11</v>
      </c>
      <c r="B57" s="6" t="n">
        <f aca="false">'Monthly Strong'!V16</f>
        <v>21.9573105619796</v>
      </c>
      <c r="C57" s="6" t="n">
        <f aca="false">'Monthly Strong'!V28</f>
        <v>54.9331069293201</v>
      </c>
      <c r="D57" s="6" t="n">
        <f aca="false">'Monthly Strong'!V40</f>
        <v>97.4516254870218</v>
      </c>
      <c r="E57" s="6" t="n">
        <f aca="false">'Monthly Strong'!V52</f>
        <v>143.793098855111</v>
      </c>
      <c r="F57" s="6" t="n">
        <f aca="false">'Monthly Strong'!V64</f>
        <v>193.429649799078</v>
      </c>
    </row>
    <row r="58" customFormat="false" ht="15" hidden="false" customHeight="false" outlineLevel="0" collapsed="false">
      <c r="A58" s="5" t="s">
        <v>12</v>
      </c>
      <c r="B58" s="6" t="n">
        <f aca="false">'Monthly Strong'!X16</f>
        <v>16.519466053825</v>
      </c>
      <c r="C58" s="6" t="n">
        <f aca="false">'Monthly Strong'!X28</f>
        <v>37.2510453287583</v>
      </c>
      <c r="D58" s="6" t="n">
        <f aca="false">'Monthly Strong'!X40</f>
        <v>59.6691642756754</v>
      </c>
      <c r="E58" s="6" t="n">
        <f aca="false">'Monthly Strong'!X52</f>
        <v>79.0920188671608</v>
      </c>
      <c r="F58" s="6" t="n">
        <f aca="false">'Monthly Strong'!X64</f>
        <v>95.8379629840468</v>
      </c>
    </row>
    <row r="59" customFormat="false" ht="15" hidden="false" customHeight="false" outlineLevel="0" collapsed="false">
      <c r="A59" s="5" t="s">
        <v>13</v>
      </c>
      <c r="B59" s="6" t="n">
        <f aca="false">'Monthly Strong'!Z16</f>
        <v>12.2366415213518</v>
      </c>
      <c r="C59" s="6" t="n">
        <f aca="false">'Monthly Strong'!Z28</f>
        <v>62.0850755479305</v>
      </c>
      <c r="D59" s="6" t="n">
        <f aca="false">'Monthly Strong'!Z40</f>
        <v>99.4486071261257</v>
      </c>
      <c r="E59" s="6" t="n">
        <f aca="false">'Monthly Strong'!Z52</f>
        <v>131.820031445268</v>
      </c>
      <c r="F59" s="6" t="n">
        <f aca="false">'Monthly Strong'!Z64</f>
        <v>159.729938306745</v>
      </c>
    </row>
    <row r="60" customFormat="false" ht="15" hidden="false" customHeight="false" outlineLevel="0" collapsed="false">
      <c r="A60" s="5" t="s">
        <v>14</v>
      </c>
      <c r="B60" s="6" t="n">
        <f aca="false">SUM('Monthly Strong'!J5:J16)</f>
        <v>77.0431949543142</v>
      </c>
      <c r="C60" s="6" t="n">
        <f aca="false">SUM('Monthly Strong'!J17:J28)</f>
        <v>115.704548657335</v>
      </c>
      <c r="D60" s="6" t="n">
        <f aca="false">SUM('Monthly Strong'!J29:J40)</f>
        <v>149.187784412988</v>
      </c>
      <c r="E60" s="6" t="n">
        <f aca="false">SUM('Monthly Strong'!J41:J52)</f>
        <v>162.601660940665</v>
      </c>
      <c r="F60" s="6" t="n">
        <f aca="false">SUM('Monthly Strong'!J53:J64)</f>
        <v>174.163336645498</v>
      </c>
    </row>
    <row r="61" customFormat="false" ht="15" hidden="false" customHeight="false" outlineLevel="0" collapsed="false">
      <c r="A61" s="5" t="s">
        <v>15</v>
      </c>
      <c r="B61" s="6" t="n">
        <f aca="false">SUM('Monthly Strong'!W5:W16)</f>
        <v>5.39599546224107</v>
      </c>
      <c r="C61" s="6" t="n">
        <f aca="false">SUM('Monthly Strong'!W17:W28)</f>
        <v>22.6397211799497</v>
      </c>
      <c r="D61" s="6" t="n">
        <f aca="false">SUM('Monthly Strong'!W29:W40)</f>
        <v>44.4058349294333</v>
      </c>
      <c r="E61" s="6" t="n">
        <f aca="false">SUM('Monthly Strong'!W41:W52)</f>
        <v>66.1169669751223</v>
      </c>
      <c r="F61" s="6" t="n">
        <f aca="false">SUM('Monthly Strong'!W53:W64)</f>
        <v>85.1531328449163</v>
      </c>
    </row>
    <row r="62" customFormat="false" ht="15" hidden="false" customHeight="false" outlineLevel="0" collapsed="false">
      <c r="A62" s="5" t="s">
        <v>16</v>
      </c>
      <c r="B62" s="7" t="n">
        <f aca="false">'Monthly Strong'!AJ16</f>
        <v>8739.70554896688</v>
      </c>
      <c r="C62" s="7" t="n">
        <f aca="false">'Monthly Strong'!AJ28</f>
        <v>21635.145917227</v>
      </c>
      <c r="D62" s="7" t="n">
        <f aca="false">'Monthly Strong'!AJ40</f>
        <v>35918.2712877269</v>
      </c>
      <c r="E62" s="7" t="n">
        <f aca="false">'Monthly Strong'!AJ52</f>
        <v>49373.6309418824</v>
      </c>
      <c r="F62" s="7" t="n">
        <f aca="false">'Monthly Strong'!AJ64</f>
        <v>62078.2071349511</v>
      </c>
    </row>
    <row r="63" customFormat="false" ht="15" hidden="false" customHeight="false" outlineLevel="0" collapsed="false">
      <c r="A63" s="5" t="s">
        <v>17</v>
      </c>
      <c r="B63" s="7" t="n">
        <f aca="false">SUM('Monthly Strong'!AI5:AI16)</f>
        <v>59725.0057901595</v>
      </c>
      <c r="C63" s="7" t="n">
        <f aca="false">SUM('Monthly Strong'!AI17:AI28)</f>
        <v>209772.274342724</v>
      </c>
      <c r="D63" s="7" t="n">
        <f aca="false">SUM('Monthly Strong'!AI29:AI40)</f>
        <v>382050.596104394</v>
      </c>
      <c r="E63" s="7" t="n">
        <f aca="false">SUM('Monthly Strong'!AI41:AI52)</f>
        <v>557016.240540364</v>
      </c>
      <c r="F63" s="7" t="n">
        <f aca="false">SUM('Monthly Strong'!AI53:AI64)</f>
        <v>721920.551293098</v>
      </c>
    </row>
    <row r="64" customFormat="false" ht="15" hidden="false" customHeight="false" outlineLevel="0" collapsed="false">
      <c r="A64" s="5" t="s">
        <v>18</v>
      </c>
      <c r="B64" s="7" t="n">
        <f aca="false">SUM('Monthly Strong'!AW5:AW16)</f>
        <v>9082.45645590937</v>
      </c>
      <c r="C64" s="7" t="n">
        <f aca="false">SUM('Monthly Strong'!AW17:AW28)</f>
        <v>27713.1610859686</v>
      </c>
      <c r="D64" s="7" t="n">
        <f aca="false">SUM('Monthly Strong'!AW29:AW40)</f>
        <v>35444.4075093658</v>
      </c>
      <c r="E64" s="7" t="n">
        <f aca="false">SUM('Monthly Strong'!AW41:AW52)</f>
        <v>49474.1343564563</v>
      </c>
      <c r="F64" s="7" t="n">
        <f aca="false">SUM('Monthly Strong'!AW53:AW64)</f>
        <v>69444.0049796335</v>
      </c>
    </row>
    <row r="65" customFormat="false" ht="15" hidden="false" customHeight="false" outlineLevel="0" collapsed="false">
      <c r="A65" s="5" t="s">
        <v>19</v>
      </c>
      <c r="B65" s="7" t="n">
        <f aca="false">SUM('Monthly Strong'!AS5:AS16)</f>
        <v>172.851321324721</v>
      </c>
      <c r="C65" s="7" t="n">
        <f aca="false">SUM('Monthly Strong'!AS17:AS28)</f>
        <v>10280.964574571</v>
      </c>
      <c r="D65" s="7" t="n">
        <f aca="false">SUM('Monthly Strong'!AS29:AS40)</f>
        <v>8787.68293347161</v>
      </c>
      <c r="E65" s="7" t="n">
        <f aca="false">SUM('Monthly Strong'!AS41:AS52)</f>
        <v>13552.3889729915</v>
      </c>
      <c r="F65" s="7" t="n">
        <f aca="false">SUM('Monthly Strong'!AS53:AS64)</f>
        <v>24945.9225816062</v>
      </c>
    </row>
    <row r="66" customFormat="false" ht="15" hidden="false" customHeight="false" outlineLevel="0" collapsed="false">
      <c r="A66" s="5" t="s">
        <v>20</v>
      </c>
      <c r="B66" s="8" t="n">
        <f aca="false">SUM('Monthly Strong'!AX5:AX16)</f>
        <v>50642.5493342501</v>
      </c>
      <c r="C66" s="8" t="n">
        <f aca="false">SUM('Monthly Strong'!AX17:AX28)</f>
        <v>182059.113256755</v>
      </c>
      <c r="D66" s="8" t="n">
        <f aca="false">SUM('Monthly Strong'!AX29:AX40)</f>
        <v>346606.188595029</v>
      </c>
      <c r="E66" s="8" t="n">
        <f aca="false">SUM('Monthly Strong'!AX41:AX52)</f>
        <v>507542.106183908</v>
      </c>
      <c r="F66" s="8" t="n">
        <f aca="false">SUM('Monthly Strong'!AX53:AX64)</f>
        <v>652476.546313464</v>
      </c>
    </row>
    <row r="67" customFormat="false" ht="15" hidden="false" customHeight="false" outlineLevel="0" collapsed="false">
      <c r="A67" s="5" t="s">
        <v>21</v>
      </c>
      <c r="B67" s="8" t="n">
        <f aca="false">SUM('Monthly Strong'!AZ5:AZ16)</f>
        <v>37981.9120006876</v>
      </c>
      <c r="C67" s="8" t="n">
        <f aca="false">SUM('Monthly Strong'!AZ17:AZ28)</f>
        <v>136544.334942566</v>
      </c>
      <c r="D67" s="8" t="n">
        <f aca="false">SUM('Monthly Strong'!AZ29:AZ40)</f>
        <v>259954.641446272</v>
      </c>
      <c r="E67" s="8" t="n">
        <f aca="false">SUM('Monthly Strong'!AZ41:AZ52)</f>
        <v>380656.579637931</v>
      </c>
      <c r="F67" s="8" t="n">
        <f aca="false">SUM('Monthly Strong'!AZ53:AZ64)</f>
        <v>489357.409735098</v>
      </c>
    </row>
    <row r="68" customFormat="false" ht="15" hidden="false" customHeight="false" outlineLevel="0" collapsed="false">
      <c r="A68" s="5" t="s">
        <v>22</v>
      </c>
      <c r="B68" s="6" t="n">
        <f aca="false">'Monthly Strong'!BE16</f>
        <v>33.0698328576336</v>
      </c>
      <c r="C68" s="6" t="n">
        <f aca="false">'Monthly Strong'!BE28</f>
        <v>62.5333811589839</v>
      </c>
      <c r="D68" s="6" t="n">
        <f aca="false">'Monthly Strong'!BE40</f>
        <v>93.4672125245318</v>
      </c>
      <c r="E68" s="6" t="n">
        <f aca="false">'Monthly Strong'!BE52</f>
        <v>118.167674442964</v>
      </c>
      <c r="F68" s="6" t="n">
        <f aca="false">'Monthly Strong'!BE64</f>
        <v>139.479841382471</v>
      </c>
    </row>
    <row r="69" customFormat="false" ht="15" hidden="false" customHeight="false" outlineLevel="0" collapsed="false">
      <c r="A69" s="5" t="s">
        <v>23</v>
      </c>
      <c r="B69" s="6" t="n">
        <f aca="false">'Monthly Strong'!BF16</f>
        <v>3.06983285763364</v>
      </c>
      <c r="C69" s="6" t="n">
        <f aca="false">'Monthly Strong'!BF28</f>
        <v>32.5333811589839</v>
      </c>
      <c r="D69" s="6" t="n">
        <f aca="false">'Monthly Strong'!BF40</f>
        <v>13.4672125245317</v>
      </c>
      <c r="E69" s="6" t="n">
        <f aca="false">'Monthly Strong'!BF52</f>
        <v>38.1676744429642</v>
      </c>
      <c r="F69" s="6" t="n">
        <f aca="false">'Monthly Strong'!BF64</f>
        <v>59.4798413824706</v>
      </c>
    </row>
    <row r="70" customFormat="false" ht="15" hidden="false" customHeight="false" outlineLevel="0" collapsed="false">
      <c r="A70" s="9" t="s">
        <v>24</v>
      </c>
      <c r="B70" s="10" t="n">
        <f aca="false">IF(MIN('Monthly Strong'!BG5:BG64)=999,"Not in 5 yrs",MIN('Monthly Strong'!BG5:BG64))</f>
        <v>1</v>
      </c>
    </row>
    <row r="71" customFormat="false" ht="15" hidden="false" customHeight="false" outlineLevel="0" collapsed="false">
      <c r="A71" s="9" t="s">
        <v>25</v>
      </c>
      <c r="B71" s="10" t="n">
        <f aca="false">IF(MAX('Monthly Strong'!Y5:Y64)=0,"Not in 5 yrs",MAX('Monthly Strong'!Y5:Y64))</f>
        <v>9</v>
      </c>
    </row>
    <row r="72" customFormat="false" ht="15" hidden="false" customHeight="false" outlineLevel="0" collapsed="false">
      <c r="A72" s="9" t="s">
        <v>26</v>
      </c>
      <c r="B72" s="10" t="n">
        <f aca="false">IF(MIN('Monthly Strong'!BI5:BI64)=999,"Not in 5 yrs",MIN('Monthly Strong'!BI5:BI64))</f>
        <v>17</v>
      </c>
    </row>
    <row r="73" customFormat="false" ht="15" hidden="false" customHeight="false" outlineLevel="0" collapsed="false">
      <c r="A73" s="9" t="s">
        <v>27</v>
      </c>
      <c r="B73" s="10" t="n">
        <f aca="false">IF(MIN('Monthly Strong'!BH5:BH64)=999,"Not in 5 yrs",MIN('Monthly Strong'!BH5:BH64))</f>
        <v>28</v>
      </c>
    </row>
    <row r="74" customFormat="false" ht="15" hidden="false" customHeight="false" outlineLevel="0" collapsed="false">
      <c r="A74" s="9" t="s">
        <v>28</v>
      </c>
      <c r="B74" s="11" t="n">
        <f aca="false">'Monthly Strong'!BA64</f>
        <v>1304494.87776255</v>
      </c>
    </row>
    <row r="76" customFormat="false" ht="15" hidden="false" customHeight="false" outlineLevel="0" collapsed="false">
      <c r="A76" s="3" t="s">
        <v>31</v>
      </c>
    </row>
    <row r="77" customFormat="false" ht="15" hidden="false" customHeight="false" outlineLevel="0" collapsed="false">
      <c r="A77" s="5" t="s">
        <v>32</v>
      </c>
      <c r="B77" s="12" t="n">
        <f aca="false">Assumptions!$D$74</f>
        <v>200000</v>
      </c>
    </row>
    <row r="78" customFormat="false" ht="15" hidden="false" customHeight="false" outlineLevel="0" collapsed="false">
      <c r="A78" s="5" t="s">
        <v>33</v>
      </c>
      <c r="B78" s="13" t="n">
        <f aca="false">Assumptions!$D$73</f>
        <v>0.28</v>
      </c>
    </row>
    <row r="79" customFormat="false" ht="15" hidden="false" customHeight="false" outlineLevel="0" collapsed="false">
      <c r="A79" s="5" t="s">
        <v>34</v>
      </c>
      <c r="B79" s="12" t="n">
        <f aca="false">B77/(1-B78)</f>
        <v>277777.777777778</v>
      </c>
    </row>
    <row r="80" customFormat="false" ht="15" hidden="false" customHeight="false" outlineLevel="0" collapsed="false">
      <c r="A80" s="5" t="s">
        <v>35</v>
      </c>
      <c r="B80" s="12" t="n">
        <f aca="false">B79/12</f>
        <v>23148.1481481482</v>
      </c>
    </row>
    <row r="81" customFormat="false" ht="15" hidden="false" customHeight="false" outlineLevel="0" collapsed="false">
      <c r="A81" s="5" t="s">
        <v>36</v>
      </c>
      <c r="B81" s="12" t="n">
        <f aca="false">'Monthly Base'!AX64/('Monthly Base'!S64+'Monthly Base'!T64+'Monthly Base'!U64)</f>
        <v>114.319902580019</v>
      </c>
    </row>
    <row r="82" customFormat="false" ht="15" hidden="false" customHeight="false" outlineLevel="0" collapsed="false">
      <c r="A82" s="5" t="s">
        <v>37</v>
      </c>
      <c r="B82" s="14" t="n">
        <f aca="false">B80/B81</f>
        <v>202.4857231832</v>
      </c>
    </row>
    <row r="83" customFormat="false" ht="15" hidden="false" customHeight="false" outlineLevel="0" collapsed="false">
      <c r="A83" s="5" t="s">
        <v>38</v>
      </c>
      <c r="B83" s="14" t="n">
        <f aca="false">'Monthly Base'!S64+'Monthly Base'!T64+'Monthly Base'!U64</f>
        <v>108.157682496444</v>
      </c>
    </row>
    <row r="85" customFormat="false" ht="15" hidden="false" customHeight="false" outlineLevel="0" collapsed="false">
      <c r="A85" s="3" t="s">
        <v>39</v>
      </c>
    </row>
    <row r="86" customFormat="false" ht="30" hidden="false" customHeight="true" outlineLevel="0" collapsed="false">
      <c r="A86" s="15" t="s">
        <v>40</v>
      </c>
      <c r="B86" s="16" t="s">
        <v>41</v>
      </c>
      <c r="C86" s="16" t="s">
        <v>42</v>
      </c>
      <c r="D86" s="16" t="s">
        <v>43</v>
      </c>
      <c r="E86" s="16" t="s">
        <v>44</v>
      </c>
    </row>
    <row r="87" customFormat="false" ht="15" hidden="false" customHeight="false" outlineLevel="0" collapsed="false">
      <c r="A87" s="17" t="s">
        <v>45</v>
      </c>
      <c r="B87" s="7" t="n">
        <v>101406</v>
      </c>
      <c r="C87" s="18" t="n">
        <v>55</v>
      </c>
      <c r="D87" s="18" t="s">
        <v>46</v>
      </c>
      <c r="E87" s="6" t="n">
        <v>108.2</v>
      </c>
    </row>
    <row r="88" customFormat="false" ht="15" hidden="false" customHeight="false" outlineLevel="0" collapsed="false">
      <c r="A88" s="17" t="s">
        <v>47</v>
      </c>
      <c r="B88" s="7" t="n">
        <v>132456</v>
      </c>
      <c r="C88" s="18" t="n">
        <v>43</v>
      </c>
      <c r="D88" s="18" t="s">
        <v>46</v>
      </c>
      <c r="E88" s="6" t="n">
        <v>108.2</v>
      </c>
    </row>
    <row r="89" customFormat="false" ht="15" hidden="false" customHeight="false" outlineLevel="0" collapsed="false">
      <c r="A89" s="17" t="s">
        <v>48</v>
      </c>
      <c r="B89" s="7" t="n">
        <v>143759</v>
      </c>
      <c r="C89" s="18" t="n">
        <v>38</v>
      </c>
      <c r="D89" s="18" t="s">
        <v>46</v>
      </c>
      <c r="E89" s="6" t="n">
        <v>108.2</v>
      </c>
    </row>
    <row r="90" customFormat="false" ht="15" hidden="false" customHeight="false" outlineLevel="0" collapsed="false">
      <c r="A90" s="17" t="s">
        <v>49</v>
      </c>
      <c r="B90" s="7" t="n">
        <v>121535</v>
      </c>
      <c r="C90" s="18" t="n">
        <v>44</v>
      </c>
      <c r="D90" s="18" t="s">
        <v>46</v>
      </c>
      <c r="E90" s="6" t="n">
        <v>108.2</v>
      </c>
    </row>
    <row r="91" customFormat="false" ht="15" hidden="false" customHeight="false" outlineLevel="0" collapsed="false">
      <c r="A91" s="17" t="s">
        <v>50</v>
      </c>
      <c r="B91" s="7" t="n">
        <v>108619</v>
      </c>
      <c r="C91" s="18" t="n">
        <v>51</v>
      </c>
      <c r="D91" s="18" t="s">
        <v>46</v>
      </c>
      <c r="E91" s="6" t="n">
        <v>108.2</v>
      </c>
    </row>
    <row r="92" customFormat="false" ht="15" hidden="false" customHeight="false" outlineLevel="0" collapsed="false">
      <c r="A92" s="17" t="s">
        <v>51</v>
      </c>
      <c r="B92" s="7" t="n">
        <v>191268</v>
      </c>
      <c r="C92" s="18" t="n">
        <v>31</v>
      </c>
      <c r="D92" s="18" t="s">
        <v>46</v>
      </c>
      <c r="E92" s="6" t="n">
        <v>210.9</v>
      </c>
    </row>
    <row r="93" customFormat="false" ht="15" hidden="false" customHeight="false" outlineLevel="0" collapsed="false">
      <c r="A93" s="17" t="s">
        <v>52</v>
      </c>
      <c r="B93" s="7" t="n">
        <v>135690</v>
      </c>
      <c r="C93" s="18" t="n">
        <v>40</v>
      </c>
      <c r="D93" s="18" t="s">
        <v>46</v>
      </c>
      <c r="E93" s="6" t="n">
        <v>113.3</v>
      </c>
    </row>
    <row r="94" customFormat="false" ht="15" hidden="false" customHeight="false" outlineLevel="0" collapsed="false">
      <c r="A94" s="17" t="s">
        <v>53</v>
      </c>
      <c r="B94" s="7" t="n">
        <v>122920</v>
      </c>
      <c r="C94" s="18" t="n">
        <v>47</v>
      </c>
      <c r="D94" s="18" t="s">
        <v>46</v>
      </c>
      <c r="E94" s="6" t="n">
        <v>137.8</v>
      </c>
    </row>
    <row r="95" customFormat="false" ht="15" hidden="false" customHeight="false" outlineLevel="0" collapsed="false">
      <c r="A95" s="17" t="s">
        <v>54</v>
      </c>
      <c r="B95" s="7" t="n">
        <v>309526</v>
      </c>
      <c r="C95" s="18" t="n">
        <v>27</v>
      </c>
      <c r="D95" s="18" t="n">
        <v>40</v>
      </c>
      <c r="E95" s="6" t="n">
        <v>210.9</v>
      </c>
    </row>
    <row r="96" customFormat="false" ht="15" hidden="false" customHeight="false" outlineLevel="0" collapsed="false">
      <c r="A96" s="17" t="s">
        <v>55</v>
      </c>
      <c r="B96" s="7" t="n">
        <v>581838</v>
      </c>
      <c r="C96" s="18" t="n">
        <v>21</v>
      </c>
      <c r="D96" s="18" t="n">
        <v>29</v>
      </c>
      <c r="E96" s="6" t="n">
        <v>269.3</v>
      </c>
    </row>
    <row r="98" customFormat="false" ht="15" hidden="false" customHeight="false" outlineLevel="0" collapsed="false">
      <c r="A98" s="9" t="s">
        <v>56</v>
      </c>
    </row>
    <row r="99" customFormat="false" ht="15" hidden="false" customHeight="false" outlineLevel="0" collapsed="false">
      <c r="A99" s="19" t="s">
        <v>57</v>
      </c>
      <c r="B99" s="4" t="s">
        <v>58</v>
      </c>
      <c r="C99" s="4" t="s">
        <v>59</v>
      </c>
      <c r="D99" s="4" t="s">
        <v>60</v>
      </c>
    </row>
    <row r="100" customFormat="false" ht="15" hidden="false" customHeight="false" outlineLevel="0" collapsed="false">
      <c r="A100" s="5" t="s">
        <v>3</v>
      </c>
      <c r="B100" s="20" t="n">
        <f aca="false">B14</f>
        <v>545.894077823503</v>
      </c>
      <c r="C100" s="20" t="n">
        <f aca="false">B38</f>
        <v>2393.64129102925</v>
      </c>
      <c r="D100" s="20" t="n">
        <f aca="false">B62</f>
        <v>8739.70554896688</v>
      </c>
    </row>
    <row r="101" customFormat="false" ht="15" hidden="false" customHeight="false" outlineLevel="0" collapsed="false">
      <c r="A101" s="5" t="s">
        <v>4</v>
      </c>
      <c r="B101" s="20" t="n">
        <f aca="false">C14</f>
        <v>1148.35157571089</v>
      </c>
      <c r="C101" s="20" t="n">
        <f aca="false">C38</f>
        <v>5967.9460082938</v>
      </c>
      <c r="D101" s="20" t="n">
        <f aca="false">C62</f>
        <v>21635.145917227</v>
      </c>
    </row>
    <row r="102" customFormat="false" ht="15" hidden="false" customHeight="false" outlineLevel="0" collapsed="false">
      <c r="A102" s="5" t="s">
        <v>5</v>
      </c>
      <c r="B102" s="20" t="n">
        <f aca="false">D14</f>
        <v>1671.56161944915</v>
      </c>
      <c r="C102" s="20" t="n">
        <f aca="false">D38</f>
        <v>9520.96321787818</v>
      </c>
      <c r="D102" s="20" t="n">
        <f aca="false">D62</f>
        <v>35918.2712877269</v>
      </c>
    </row>
    <row r="103" customFormat="false" ht="15" hidden="false" customHeight="false" outlineLevel="0" collapsed="false">
      <c r="A103" s="5" t="s">
        <v>6</v>
      </c>
      <c r="B103" s="20" t="n">
        <f aca="false">E14</f>
        <v>1950.55168618864</v>
      </c>
      <c r="C103" s="20" t="n">
        <f aca="false">E38</f>
        <v>12210.1598054002</v>
      </c>
      <c r="D103" s="20" t="n">
        <f aca="false">E62</f>
        <v>49373.6309418824</v>
      </c>
    </row>
    <row r="104" customFormat="false" ht="15" hidden="false" customHeight="false" outlineLevel="0" collapsed="false">
      <c r="A104" s="5" t="s">
        <v>7</v>
      </c>
      <c r="B104" s="20" t="n">
        <f aca="false">F14</f>
        <v>2123.76402408797</v>
      </c>
      <c r="C104" s="20" t="n">
        <f aca="false">F38</f>
        <v>14300.8354977334</v>
      </c>
      <c r="D104" s="20" t="n">
        <f aca="false">F62</f>
        <v>62078.2071349511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5" man="true" max="16383" min="0"/>
    <brk id="97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9"/>
    <col collapsed="false" customWidth="true" hidden="false" outlineLevel="0" max="3" min="3" style="0" width="13"/>
    <col collapsed="false" customWidth="true" hidden="false" outlineLevel="0" max="5" min="4" style="0" width="11"/>
    <col collapsed="false" customWidth="true" hidden="false" outlineLevel="0" max="6" min="6" style="0" width="52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3" customFormat="false" ht="15" hidden="false" customHeight="false" outlineLevel="0" collapsed="false">
      <c r="A3" s="5" t="s">
        <v>63</v>
      </c>
    </row>
    <row r="5" customFormat="false" ht="15" hidden="false" customHeight="false" outlineLevel="0" collapsed="false">
      <c r="A5" s="15" t="s">
        <v>64</v>
      </c>
      <c r="B5" s="15" t="s">
        <v>65</v>
      </c>
      <c r="C5" s="16" t="s">
        <v>58</v>
      </c>
      <c r="D5" s="16" t="s">
        <v>59</v>
      </c>
      <c r="E5" s="16" t="s">
        <v>60</v>
      </c>
      <c r="F5" s="15" t="s">
        <v>66</v>
      </c>
      <c r="G5" s="15" t="s">
        <v>67</v>
      </c>
    </row>
    <row r="6" customFormat="false" ht="15" hidden="false" customHeight="false" outlineLevel="0" collapsed="false">
      <c r="A6" s="21" t="s">
        <v>68</v>
      </c>
      <c r="B6" s="22"/>
      <c r="C6" s="22"/>
      <c r="D6" s="22"/>
      <c r="E6" s="22"/>
      <c r="F6" s="22"/>
      <c r="G6" s="22"/>
    </row>
    <row r="7" customFormat="false" ht="15" hidden="false" customHeight="false" outlineLevel="0" collapsed="false">
      <c r="A7" s="23" t="s">
        <v>69</v>
      </c>
      <c r="B7" s="23" t="s">
        <v>70</v>
      </c>
      <c r="C7" s="24" t="n">
        <v>10</v>
      </c>
      <c r="D7" s="24" t="n">
        <v>15</v>
      </c>
      <c r="E7" s="24" t="n">
        <v>20</v>
      </c>
      <c r="F7" s="23" t="s">
        <v>71</v>
      </c>
      <c r="G7" s="23" t="s">
        <v>72</v>
      </c>
    </row>
    <row r="8" customFormat="false" ht="15" hidden="false" customHeight="false" outlineLevel="0" collapsed="false">
      <c r="A8" s="23" t="s">
        <v>73</v>
      </c>
      <c r="B8" s="23" t="s">
        <v>70</v>
      </c>
      <c r="C8" s="24" t="n">
        <v>12</v>
      </c>
      <c r="D8" s="24" t="n">
        <v>20</v>
      </c>
      <c r="E8" s="24" t="n">
        <v>25</v>
      </c>
      <c r="F8" s="23" t="s">
        <v>74</v>
      </c>
      <c r="G8" s="23" t="s">
        <v>72</v>
      </c>
    </row>
    <row r="9" customFormat="false" ht="30" hidden="false" customHeight="true" outlineLevel="0" collapsed="false">
      <c r="A9" s="23" t="s">
        <v>75</v>
      </c>
      <c r="B9" s="23" t="s">
        <v>70</v>
      </c>
      <c r="C9" s="24" t="n">
        <v>15</v>
      </c>
      <c r="D9" s="24" t="n">
        <v>25</v>
      </c>
      <c r="E9" s="24" t="n">
        <v>30</v>
      </c>
      <c r="F9" s="23" t="s">
        <v>76</v>
      </c>
      <c r="G9" s="23" t="s">
        <v>72</v>
      </c>
    </row>
    <row r="10" customFormat="false" ht="15" hidden="false" customHeight="false" outlineLevel="0" collapsed="false">
      <c r="A10" s="23" t="s">
        <v>77</v>
      </c>
      <c r="B10" s="23" t="s">
        <v>78</v>
      </c>
      <c r="C10" s="24" t="n">
        <v>20</v>
      </c>
      <c r="D10" s="24" t="n">
        <v>21</v>
      </c>
      <c r="E10" s="24" t="n">
        <v>22</v>
      </c>
      <c r="F10" s="23"/>
      <c r="G10" s="23" t="s">
        <v>72</v>
      </c>
    </row>
    <row r="11" customFormat="false" ht="30" hidden="false" customHeight="true" outlineLevel="0" collapsed="false">
      <c r="A11" s="23" t="s">
        <v>79</v>
      </c>
      <c r="B11" s="23" t="s">
        <v>80</v>
      </c>
      <c r="C11" s="25" t="n">
        <v>0.05</v>
      </c>
      <c r="D11" s="25" t="n">
        <v>0.08</v>
      </c>
      <c r="E11" s="25" t="n">
        <v>0.1</v>
      </c>
      <c r="F11" s="23" t="s">
        <v>81</v>
      </c>
      <c r="G11" s="23" t="s">
        <v>82</v>
      </c>
    </row>
    <row r="12" customFormat="false" ht="15" hidden="false" customHeight="false" outlineLevel="0" collapsed="false">
      <c r="A12" s="23" t="s">
        <v>83</v>
      </c>
      <c r="B12" s="23" t="s">
        <v>80</v>
      </c>
      <c r="C12" s="25" t="n">
        <v>0.1</v>
      </c>
      <c r="D12" s="25" t="n">
        <v>0.12</v>
      </c>
      <c r="E12" s="25" t="n">
        <v>0.15</v>
      </c>
      <c r="F12" s="23"/>
      <c r="G12" s="23" t="s">
        <v>72</v>
      </c>
    </row>
    <row r="13" customFormat="false" ht="15" hidden="false" customHeight="false" outlineLevel="0" collapsed="false">
      <c r="A13" s="23" t="s">
        <v>84</v>
      </c>
      <c r="B13" s="23" t="s">
        <v>80</v>
      </c>
      <c r="C13" s="25" t="n">
        <v>0.4</v>
      </c>
      <c r="D13" s="25" t="n">
        <v>0.5</v>
      </c>
      <c r="E13" s="25" t="n">
        <v>0.6</v>
      </c>
      <c r="F13" s="23" t="s">
        <v>85</v>
      </c>
      <c r="G13" s="23" t="s">
        <v>72</v>
      </c>
    </row>
    <row r="14" customFormat="false" ht="15" hidden="false" customHeight="false" outlineLevel="0" collapsed="false">
      <c r="A14" s="23" t="s">
        <v>86</v>
      </c>
      <c r="B14" s="23" t="s">
        <v>87</v>
      </c>
      <c r="C14" s="24" t="n">
        <v>9</v>
      </c>
      <c r="D14" s="24" t="n">
        <v>6</v>
      </c>
      <c r="E14" s="24" t="n">
        <v>4</v>
      </c>
      <c r="F14" s="23"/>
      <c r="G14" s="23" t="s">
        <v>72</v>
      </c>
    </row>
    <row r="15" customFormat="false" ht="15" hidden="false" customHeight="false" outlineLevel="0" collapsed="false">
      <c r="A15" s="23" t="s">
        <v>88</v>
      </c>
      <c r="B15" s="23" t="s">
        <v>80</v>
      </c>
      <c r="C15" s="25" t="n">
        <v>0.005</v>
      </c>
      <c r="D15" s="25" t="n">
        <v>0.01</v>
      </c>
      <c r="E15" s="25" t="n">
        <v>0.015</v>
      </c>
      <c r="F15" s="23" t="s">
        <v>89</v>
      </c>
      <c r="G15" s="23" t="s">
        <v>72</v>
      </c>
    </row>
    <row r="16" customFormat="false" ht="15" hidden="false" customHeight="false" outlineLevel="0" collapsed="false">
      <c r="A16" s="21" t="s">
        <v>90</v>
      </c>
      <c r="B16" s="22"/>
      <c r="C16" s="22"/>
      <c r="D16" s="22"/>
      <c r="E16" s="22"/>
      <c r="F16" s="22"/>
      <c r="G16" s="22"/>
    </row>
    <row r="17" customFormat="false" ht="15" hidden="false" customHeight="false" outlineLevel="0" collapsed="false">
      <c r="A17" s="23" t="s">
        <v>91</v>
      </c>
      <c r="B17" s="23" t="s">
        <v>80</v>
      </c>
      <c r="C17" s="25" t="n">
        <v>0.7</v>
      </c>
      <c r="D17" s="25" t="n">
        <v>0.7</v>
      </c>
      <c r="E17" s="25" t="n">
        <v>0.7</v>
      </c>
      <c r="F17" s="23" t="s">
        <v>92</v>
      </c>
      <c r="G17" s="23" t="s">
        <v>72</v>
      </c>
    </row>
    <row r="18" customFormat="false" ht="15" hidden="false" customHeight="false" outlineLevel="0" collapsed="false">
      <c r="A18" s="23" t="s">
        <v>93</v>
      </c>
      <c r="B18" s="23" t="s">
        <v>80</v>
      </c>
      <c r="C18" s="25" t="n">
        <v>0</v>
      </c>
      <c r="D18" s="25" t="n">
        <v>0</v>
      </c>
      <c r="E18" s="25" t="n">
        <v>0.05</v>
      </c>
      <c r="F18" s="23" t="s">
        <v>94</v>
      </c>
      <c r="G18" s="23" t="s">
        <v>72</v>
      </c>
    </row>
    <row r="19" customFormat="false" ht="15" hidden="false" customHeight="false" outlineLevel="0" collapsed="false">
      <c r="A19" s="23" t="s">
        <v>95</v>
      </c>
      <c r="B19" s="23" t="s">
        <v>80</v>
      </c>
      <c r="C19" s="25" t="n">
        <v>0.15</v>
      </c>
      <c r="D19" s="25" t="n">
        <v>0.1</v>
      </c>
      <c r="E19" s="25" t="n">
        <v>0.05</v>
      </c>
      <c r="F19" s="23"/>
      <c r="G19" s="23" t="s">
        <v>96</v>
      </c>
    </row>
    <row r="20" customFormat="false" ht="30" hidden="false" customHeight="true" outlineLevel="0" collapsed="false">
      <c r="A20" s="23" t="s">
        <v>97</v>
      </c>
      <c r="B20" s="23" t="s">
        <v>98</v>
      </c>
      <c r="C20" s="25" t="n">
        <v>0.02</v>
      </c>
      <c r="D20" s="25" t="n">
        <v>0.01</v>
      </c>
      <c r="E20" s="25" t="n">
        <v>0.005</v>
      </c>
      <c r="F20" s="23" t="s">
        <v>99</v>
      </c>
      <c r="G20" s="23" t="s">
        <v>100</v>
      </c>
    </row>
    <row r="21" customFormat="false" ht="15" hidden="false" customHeight="false" outlineLevel="0" collapsed="false">
      <c r="A21" s="23" t="s">
        <v>101</v>
      </c>
      <c r="B21" s="23" t="s">
        <v>80</v>
      </c>
      <c r="C21" s="25" t="n">
        <v>0.3</v>
      </c>
      <c r="D21" s="25" t="n">
        <v>0.2</v>
      </c>
      <c r="E21" s="25" t="n">
        <v>0.1</v>
      </c>
      <c r="F21" s="23"/>
      <c r="G21" s="23" t="s">
        <v>72</v>
      </c>
    </row>
    <row r="22" customFormat="false" ht="15" hidden="false" customHeight="false" outlineLevel="0" collapsed="false">
      <c r="A22" s="23" t="s">
        <v>102</v>
      </c>
      <c r="B22" s="23" t="s">
        <v>98</v>
      </c>
      <c r="C22" s="25" t="n">
        <v>0.05</v>
      </c>
      <c r="D22" s="25" t="n">
        <v>0.035</v>
      </c>
      <c r="E22" s="25" t="n">
        <v>0.025</v>
      </c>
      <c r="F22" s="23" t="s">
        <v>103</v>
      </c>
      <c r="G22" s="23" t="s">
        <v>104</v>
      </c>
    </row>
    <row r="23" customFormat="false" ht="15" hidden="false" customHeight="false" outlineLevel="0" collapsed="false">
      <c r="A23" s="23" t="s">
        <v>105</v>
      </c>
      <c r="B23" s="23" t="s">
        <v>80</v>
      </c>
      <c r="C23" s="25" t="n">
        <v>0.2</v>
      </c>
      <c r="D23" s="25" t="n">
        <v>0.3</v>
      </c>
      <c r="E23" s="25" t="n">
        <v>0.4</v>
      </c>
      <c r="F23" s="23"/>
      <c r="G23" s="23" t="s">
        <v>72</v>
      </c>
    </row>
    <row r="24" customFormat="false" ht="15" hidden="false" customHeight="false" outlineLevel="0" collapsed="false">
      <c r="A24" s="23" t="s">
        <v>106</v>
      </c>
      <c r="B24" s="23" t="s">
        <v>98</v>
      </c>
      <c r="C24" s="25" t="n">
        <v>0.06</v>
      </c>
      <c r="D24" s="25" t="n">
        <v>0.045</v>
      </c>
      <c r="E24" s="25" t="n">
        <v>0.03</v>
      </c>
      <c r="F24" s="23" t="s">
        <v>107</v>
      </c>
      <c r="G24" s="23" t="s">
        <v>108</v>
      </c>
    </row>
    <row r="25" customFormat="false" ht="15" hidden="false" customHeight="false" outlineLevel="0" collapsed="false">
      <c r="A25" s="23" t="s">
        <v>109</v>
      </c>
      <c r="B25" s="23" t="s">
        <v>98</v>
      </c>
      <c r="C25" s="25" t="n">
        <v>0.03</v>
      </c>
      <c r="D25" s="25" t="n">
        <v>0.03</v>
      </c>
      <c r="E25" s="25" t="n">
        <v>0.025</v>
      </c>
      <c r="F25" s="23"/>
      <c r="G25" s="23" t="s">
        <v>110</v>
      </c>
    </row>
    <row r="26" customFormat="false" ht="15" hidden="false" customHeight="false" outlineLevel="0" collapsed="false">
      <c r="A26" s="21" t="s">
        <v>111</v>
      </c>
      <c r="B26" s="22"/>
      <c r="C26" s="22"/>
      <c r="D26" s="22"/>
      <c r="E26" s="22"/>
      <c r="F26" s="22"/>
      <c r="G26" s="22"/>
    </row>
    <row r="27" customFormat="false" ht="15" hidden="false" customHeight="false" outlineLevel="0" collapsed="false">
      <c r="A27" s="23" t="s">
        <v>112</v>
      </c>
      <c r="B27" s="23" t="s">
        <v>113</v>
      </c>
      <c r="C27" s="26" t="n">
        <v>99</v>
      </c>
      <c r="D27" s="26" t="n">
        <v>99</v>
      </c>
      <c r="E27" s="26" t="n">
        <v>99</v>
      </c>
      <c r="F27" s="23"/>
      <c r="G27" s="23" t="s">
        <v>114</v>
      </c>
    </row>
    <row r="28" customFormat="false" ht="15" hidden="false" customHeight="false" outlineLevel="0" collapsed="false">
      <c r="A28" s="23" t="s">
        <v>115</v>
      </c>
      <c r="B28" s="23" t="s">
        <v>113</v>
      </c>
      <c r="C28" s="26" t="n">
        <v>99</v>
      </c>
      <c r="D28" s="26" t="n">
        <v>99</v>
      </c>
      <c r="E28" s="26" t="n">
        <v>99</v>
      </c>
      <c r="F28" s="23"/>
      <c r="G28" s="23" t="s">
        <v>114</v>
      </c>
    </row>
    <row r="29" customFormat="false" ht="15" hidden="false" customHeight="false" outlineLevel="0" collapsed="false">
      <c r="A29" s="23" t="s">
        <v>116</v>
      </c>
      <c r="B29" s="23" t="s">
        <v>113</v>
      </c>
      <c r="C29" s="26" t="n">
        <v>499</v>
      </c>
      <c r="D29" s="26" t="n">
        <v>499</v>
      </c>
      <c r="E29" s="26" t="n">
        <v>499</v>
      </c>
      <c r="F29" s="23"/>
      <c r="G29" s="23" t="s">
        <v>114</v>
      </c>
    </row>
    <row r="30" customFormat="false" ht="15" hidden="false" customHeight="false" outlineLevel="0" collapsed="false">
      <c r="A30" s="23" t="s">
        <v>117</v>
      </c>
      <c r="B30" s="23" t="s">
        <v>118</v>
      </c>
      <c r="C30" s="26" t="n">
        <v>79</v>
      </c>
      <c r="D30" s="26" t="n">
        <v>79</v>
      </c>
      <c r="E30" s="26" t="n">
        <v>79</v>
      </c>
      <c r="F30" s="23"/>
      <c r="G30" s="23" t="s">
        <v>114</v>
      </c>
    </row>
    <row r="31" customFormat="false" ht="15" hidden="false" customHeight="false" outlineLevel="0" collapsed="false">
      <c r="A31" s="23" t="s">
        <v>119</v>
      </c>
      <c r="B31" s="23" t="s">
        <v>118</v>
      </c>
      <c r="C31" s="26" t="n">
        <v>399</v>
      </c>
      <c r="D31" s="26" t="n">
        <v>399</v>
      </c>
      <c r="E31" s="26" t="n">
        <v>399</v>
      </c>
      <c r="F31" s="23"/>
      <c r="G31" s="23" t="s">
        <v>72</v>
      </c>
    </row>
    <row r="32" customFormat="false" ht="15" hidden="false" customHeight="false" outlineLevel="0" collapsed="false">
      <c r="A32" s="23" t="s">
        <v>120</v>
      </c>
      <c r="B32" s="23" t="s">
        <v>121</v>
      </c>
      <c r="C32" s="25" t="n">
        <v>0</v>
      </c>
      <c r="D32" s="25" t="n">
        <v>0.03</v>
      </c>
      <c r="E32" s="25" t="n">
        <v>0.05</v>
      </c>
      <c r="F32" s="23" t="s">
        <v>122</v>
      </c>
      <c r="G32" s="23" t="s">
        <v>72</v>
      </c>
    </row>
    <row r="33" customFormat="false" ht="15" hidden="false" customHeight="false" outlineLevel="0" collapsed="false">
      <c r="A33" s="21" t="s">
        <v>123</v>
      </c>
      <c r="B33" s="22"/>
      <c r="C33" s="22"/>
      <c r="D33" s="22"/>
      <c r="E33" s="22"/>
      <c r="F33" s="22"/>
      <c r="G33" s="22"/>
    </row>
    <row r="34" customFormat="false" ht="30" hidden="false" customHeight="true" outlineLevel="0" collapsed="false">
      <c r="A34" s="23" t="s">
        <v>124</v>
      </c>
      <c r="B34" s="23" t="s">
        <v>125</v>
      </c>
      <c r="C34" s="24" t="n">
        <v>6</v>
      </c>
      <c r="D34" s="24" t="n">
        <v>4</v>
      </c>
      <c r="E34" s="24" t="n">
        <v>3</v>
      </c>
      <c r="F34" s="23"/>
      <c r="G34" s="23" t="s">
        <v>72</v>
      </c>
    </row>
    <row r="35" customFormat="false" ht="15" hidden="false" customHeight="false" outlineLevel="0" collapsed="false">
      <c r="A35" s="23" t="s">
        <v>126</v>
      </c>
      <c r="B35" s="23" t="s">
        <v>87</v>
      </c>
      <c r="C35" s="24" t="n">
        <v>9</v>
      </c>
      <c r="D35" s="24" t="n">
        <v>6</v>
      </c>
      <c r="E35" s="24" t="n">
        <v>4</v>
      </c>
      <c r="F35" s="23"/>
      <c r="G35" s="23" t="s">
        <v>72</v>
      </c>
    </row>
    <row r="36" customFormat="false" ht="30" hidden="false" customHeight="true" outlineLevel="0" collapsed="false">
      <c r="A36" s="23" t="s">
        <v>127</v>
      </c>
      <c r="B36" s="23" t="s">
        <v>80</v>
      </c>
      <c r="C36" s="25" t="n">
        <v>0.1</v>
      </c>
      <c r="D36" s="25" t="n">
        <v>0.2</v>
      </c>
      <c r="E36" s="25" t="n">
        <v>0.3</v>
      </c>
      <c r="F36" s="23"/>
      <c r="G36" s="23" t="s">
        <v>72</v>
      </c>
    </row>
    <row r="37" customFormat="false" ht="15" hidden="false" customHeight="false" outlineLevel="0" collapsed="false">
      <c r="A37" s="23" t="s">
        <v>128</v>
      </c>
      <c r="B37" s="23" t="s">
        <v>129</v>
      </c>
      <c r="C37" s="24" t="n">
        <v>5</v>
      </c>
      <c r="D37" s="24" t="n">
        <v>7</v>
      </c>
      <c r="E37" s="24" t="n">
        <v>10</v>
      </c>
      <c r="F37" s="23" t="s">
        <v>130</v>
      </c>
      <c r="G37" s="23" t="s">
        <v>131</v>
      </c>
    </row>
    <row r="38" customFormat="false" ht="15" hidden="false" customHeight="false" outlineLevel="0" collapsed="false">
      <c r="A38" s="23" t="s">
        <v>132</v>
      </c>
      <c r="B38" s="23" t="s">
        <v>113</v>
      </c>
      <c r="C38" s="26" t="n">
        <v>10</v>
      </c>
      <c r="D38" s="26" t="n">
        <v>10</v>
      </c>
      <c r="E38" s="26" t="n">
        <v>10</v>
      </c>
      <c r="F38" s="23"/>
      <c r="G38" s="23" t="s">
        <v>131</v>
      </c>
    </row>
    <row r="39" customFormat="false" ht="15" hidden="false" customHeight="false" outlineLevel="0" collapsed="false">
      <c r="A39" s="21" t="s">
        <v>133</v>
      </c>
      <c r="B39" s="22"/>
      <c r="C39" s="22"/>
      <c r="D39" s="22"/>
      <c r="E39" s="22"/>
      <c r="F39" s="22"/>
      <c r="G39" s="22"/>
    </row>
    <row r="40" customFormat="false" ht="30" hidden="false" customHeight="true" outlineLevel="0" collapsed="false">
      <c r="A40" s="23" t="s">
        <v>134</v>
      </c>
      <c r="B40" s="23" t="s">
        <v>135</v>
      </c>
      <c r="C40" s="24" t="n">
        <v>20</v>
      </c>
      <c r="D40" s="24" t="n">
        <v>20</v>
      </c>
      <c r="E40" s="24" t="n">
        <v>20</v>
      </c>
      <c r="F40" s="23" t="s">
        <v>136</v>
      </c>
      <c r="G40" s="23" t="s">
        <v>72</v>
      </c>
    </row>
    <row r="41" customFormat="false" ht="15" hidden="false" customHeight="false" outlineLevel="0" collapsed="false">
      <c r="A41" s="23" t="s">
        <v>137</v>
      </c>
      <c r="B41" s="23" t="s">
        <v>125</v>
      </c>
      <c r="C41" s="24" t="n">
        <v>12</v>
      </c>
      <c r="D41" s="24" t="n">
        <v>9</v>
      </c>
      <c r="E41" s="24" t="n">
        <v>9</v>
      </c>
      <c r="F41" s="23"/>
      <c r="G41" s="23" t="s">
        <v>72</v>
      </c>
    </row>
    <row r="42" customFormat="false" ht="30" hidden="false" customHeight="true" outlineLevel="0" collapsed="false">
      <c r="A42" s="23" t="s">
        <v>138</v>
      </c>
      <c r="B42" s="23" t="s">
        <v>80</v>
      </c>
      <c r="C42" s="25" t="n">
        <v>0.15</v>
      </c>
      <c r="D42" s="25" t="n">
        <v>0.3</v>
      </c>
      <c r="E42" s="25" t="n">
        <v>0.5</v>
      </c>
      <c r="F42" s="23"/>
      <c r="G42" s="23" t="s">
        <v>72</v>
      </c>
    </row>
    <row r="43" customFormat="false" ht="15" hidden="false" customHeight="false" outlineLevel="0" collapsed="false">
      <c r="A43" s="23" t="s">
        <v>139</v>
      </c>
      <c r="B43" s="23" t="s">
        <v>87</v>
      </c>
      <c r="C43" s="24" t="n">
        <v>18</v>
      </c>
      <c r="D43" s="24" t="n">
        <v>12</v>
      </c>
      <c r="E43" s="24" t="n">
        <v>9</v>
      </c>
      <c r="F43" s="23"/>
      <c r="G43" s="23" t="s">
        <v>72</v>
      </c>
    </row>
    <row r="44" customFormat="false" ht="15" hidden="false" customHeight="false" outlineLevel="0" collapsed="false">
      <c r="A44" s="23" t="s">
        <v>140</v>
      </c>
      <c r="B44" s="23" t="s">
        <v>118</v>
      </c>
      <c r="C44" s="26" t="n">
        <v>4000</v>
      </c>
      <c r="D44" s="26" t="n">
        <v>6000</v>
      </c>
      <c r="E44" s="26" t="n">
        <v>7000</v>
      </c>
      <c r="F44" s="23"/>
      <c r="G44" s="23" t="s">
        <v>141</v>
      </c>
    </row>
    <row r="45" customFormat="false" ht="15" hidden="false" customHeight="false" outlineLevel="0" collapsed="false">
      <c r="A45" s="23" t="s">
        <v>142</v>
      </c>
      <c r="B45" s="23" t="s">
        <v>80</v>
      </c>
      <c r="C45" s="25" t="n">
        <v>0.005</v>
      </c>
      <c r="D45" s="25" t="n">
        <v>0.005</v>
      </c>
      <c r="E45" s="25" t="n">
        <v>0.005</v>
      </c>
      <c r="F45" s="23"/>
      <c r="G45" s="23" t="s">
        <v>141</v>
      </c>
    </row>
    <row r="46" customFormat="false" ht="15" hidden="false" customHeight="false" outlineLevel="0" collapsed="false">
      <c r="A46" s="23" t="s">
        <v>143</v>
      </c>
      <c r="B46" s="23" t="s">
        <v>113</v>
      </c>
      <c r="C46" s="26" t="n">
        <v>5000</v>
      </c>
      <c r="D46" s="26" t="n">
        <v>3000</v>
      </c>
      <c r="E46" s="26" t="n">
        <v>2000</v>
      </c>
      <c r="F46" s="23"/>
      <c r="G46" s="23" t="s">
        <v>72</v>
      </c>
    </row>
    <row r="47" customFormat="false" ht="15" hidden="false" customHeight="false" outlineLevel="0" collapsed="false">
      <c r="A47" s="23" t="s">
        <v>144</v>
      </c>
      <c r="B47" s="23" t="s">
        <v>118</v>
      </c>
      <c r="C47" s="26" t="n">
        <v>75</v>
      </c>
      <c r="D47" s="26" t="n">
        <v>50</v>
      </c>
      <c r="E47" s="26" t="n">
        <v>50</v>
      </c>
      <c r="F47" s="23"/>
      <c r="G47" s="23" t="s">
        <v>72</v>
      </c>
    </row>
    <row r="48" customFormat="false" ht="15" hidden="false" customHeight="false" outlineLevel="0" collapsed="false">
      <c r="A48" s="21" t="s">
        <v>18</v>
      </c>
      <c r="B48" s="22"/>
      <c r="C48" s="22"/>
      <c r="D48" s="22"/>
      <c r="E48" s="22"/>
      <c r="F48" s="22"/>
      <c r="G48" s="22"/>
    </row>
    <row r="49" customFormat="false" ht="15" hidden="false" customHeight="false" outlineLevel="0" collapsed="false">
      <c r="A49" s="23" t="s">
        <v>145</v>
      </c>
      <c r="B49" s="23" t="s">
        <v>80</v>
      </c>
      <c r="C49" s="25" t="n">
        <v>0.04</v>
      </c>
      <c r="D49" s="25" t="n">
        <v>0.038</v>
      </c>
      <c r="E49" s="25" t="n">
        <v>0.035</v>
      </c>
      <c r="F49" s="23" t="s">
        <v>146</v>
      </c>
      <c r="G49" s="23" t="s">
        <v>147</v>
      </c>
    </row>
    <row r="50" customFormat="false" ht="15" hidden="false" customHeight="false" outlineLevel="0" collapsed="false">
      <c r="A50" s="23" t="s">
        <v>148</v>
      </c>
      <c r="B50" s="23" t="s">
        <v>80</v>
      </c>
      <c r="C50" s="25" t="n">
        <v>0.007</v>
      </c>
      <c r="D50" s="25" t="n">
        <v>0.007</v>
      </c>
      <c r="E50" s="25" t="n">
        <v>0.007</v>
      </c>
      <c r="F50" s="23"/>
      <c r="G50" s="23" t="s">
        <v>149</v>
      </c>
    </row>
    <row r="51" customFormat="false" ht="15" hidden="false" customHeight="false" outlineLevel="0" collapsed="false">
      <c r="A51" s="23" t="s">
        <v>150</v>
      </c>
      <c r="B51" s="23" t="s">
        <v>118</v>
      </c>
      <c r="C51" s="27" t="n">
        <v>1.25</v>
      </c>
      <c r="D51" s="27" t="n">
        <v>1.25</v>
      </c>
      <c r="E51" s="27" t="n">
        <v>1.25</v>
      </c>
      <c r="F51" s="23" t="s">
        <v>151</v>
      </c>
      <c r="G51" s="23" t="s">
        <v>72</v>
      </c>
    </row>
    <row r="52" customFormat="false" ht="15" hidden="false" customHeight="false" outlineLevel="0" collapsed="false">
      <c r="A52" s="23" t="s">
        <v>152</v>
      </c>
      <c r="B52" s="23" t="s">
        <v>113</v>
      </c>
      <c r="C52" s="26" t="n">
        <v>15</v>
      </c>
      <c r="D52" s="26" t="n">
        <v>15</v>
      </c>
      <c r="E52" s="26" t="n">
        <v>15</v>
      </c>
      <c r="F52" s="23"/>
      <c r="G52" s="23" t="s">
        <v>72</v>
      </c>
    </row>
    <row r="53" customFormat="false" ht="15" hidden="false" customHeight="false" outlineLevel="0" collapsed="false">
      <c r="A53" s="23" t="s">
        <v>153</v>
      </c>
      <c r="B53" s="23" t="s">
        <v>118</v>
      </c>
      <c r="C53" s="26" t="n">
        <v>200</v>
      </c>
      <c r="D53" s="26" t="n">
        <v>150</v>
      </c>
      <c r="E53" s="26" t="n">
        <v>120</v>
      </c>
      <c r="F53" s="23" t="s">
        <v>154</v>
      </c>
      <c r="G53" s="23" t="s">
        <v>72</v>
      </c>
    </row>
    <row r="54" customFormat="false" ht="15" hidden="false" customHeight="false" outlineLevel="0" collapsed="false">
      <c r="A54" s="23" t="s">
        <v>155</v>
      </c>
      <c r="B54" s="23" t="s">
        <v>118</v>
      </c>
      <c r="C54" s="26" t="n">
        <v>4</v>
      </c>
      <c r="D54" s="26" t="n">
        <v>3</v>
      </c>
      <c r="E54" s="26" t="n">
        <v>2</v>
      </c>
      <c r="F54" s="23" t="s">
        <v>156</v>
      </c>
      <c r="G54" s="23" t="s">
        <v>72</v>
      </c>
    </row>
    <row r="55" customFormat="false" ht="15" hidden="false" customHeight="false" outlineLevel="0" collapsed="false">
      <c r="A55" s="23" t="s">
        <v>157</v>
      </c>
      <c r="B55" s="23" t="s">
        <v>118</v>
      </c>
      <c r="C55" s="26" t="n">
        <v>100</v>
      </c>
      <c r="D55" s="26" t="n">
        <v>100</v>
      </c>
      <c r="E55" s="26" t="n">
        <v>200</v>
      </c>
      <c r="F55" s="23" t="s">
        <v>158</v>
      </c>
      <c r="G55" s="23" t="s">
        <v>72</v>
      </c>
    </row>
    <row r="56" customFormat="false" ht="15" hidden="false" customHeight="false" outlineLevel="0" collapsed="false">
      <c r="A56" s="23" t="s">
        <v>159</v>
      </c>
      <c r="B56" s="23" t="s">
        <v>160</v>
      </c>
      <c r="C56" s="26" t="n">
        <v>1200</v>
      </c>
      <c r="D56" s="26" t="n">
        <v>900</v>
      </c>
      <c r="E56" s="26" t="n">
        <v>800</v>
      </c>
      <c r="F56" s="23"/>
      <c r="G56" s="23" t="s">
        <v>161</v>
      </c>
    </row>
    <row r="57" customFormat="false" ht="15" hidden="false" customHeight="false" outlineLevel="0" collapsed="false">
      <c r="A57" s="23" t="s">
        <v>162</v>
      </c>
      <c r="B57" s="23" t="s">
        <v>113</v>
      </c>
      <c r="C57" s="26" t="n">
        <v>300</v>
      </c>
      <c r="D57" s="26" t="n">
        <v>300</v>
      </c>
      <c r="E57" s="26" t="n">
        <v>300</v>
      </c>
      <c r="F57" s="23"/>
      <c r="G57" s="23" t="s">
        <v>163</v>
      </c>
    </row>
    <row r="58" customFormat="false" ht="15" hidden="false" customHeight="false" outlineLevel="0" collapsed="false">
      <c r="A58" s="23" t="s">
        <v>164</v>
      </c>
      <c r="B58" s="23" t="s">
        <v>118</v>
      </c>
      <c r="C58" s="26" t="n">
        <v>60</v>
      </c>
      <c r="D58" s="26" t="n">
        <v>45</v>
      </c>
      <c r="E58" s="26" t="n">
        <v>40</v>
      </c>
      <c r="F58" s="23"/>
      <c r="G58" s="23" t="s">
        <v>72</v>
      </c>
    </row>
    <row r="59" customFormat="false" ht="15" hidden="false" customHeight="false" outlineLevel="0" collapsed="false">
      <c r="A59" s="21" t="s">
        <v>165</v>
      </c>
      <c r="B59" s="22"/>
      <c r="C59" s="22"/>
      <c r="D59" s="22"/>
      <c r="E59" s="22"/>
      <c r="F59" s="22"/>
      <c r="G59" s="22"/>
    </row>
    <row r="60" customFormat="false" ht="15" hidden="false" customHeight="false" outlineLevel="0" collapsed="false">
      <c r="A60" s="23" t="s">
        <v>166</v>
      </c>
      <c r="B60" s="23" t="s">
        <v>167</v>
      </c>
      <c r="C60" s="24" t="n">
        <v>4</v>
      </c>
      <c r="D60" s="24" t="n">
        <v>3</v>
      </c>
      <c r="E60" s="24" t="n">
        <v>2</v>
      </c>
      <c r="F60" s="23" t="s">
        <v>168</v>
      </c>
      <c r="G60" s="23" t="s">
        <v>72</v>
      </c>
    </row>
    <row r="61" customFormat="false" ht="15" hidden="false" customHeight="false" outlineLevel="0" collapsed="false">
      <c r="A61" s="23" t="s">
        <v>169</v>
      </c>
      <c r="B61" s="23" t="s">
        <v>170</v>
      </c>
      <c r="C61" s="28" t="n">
        <v>0.6</v>
      </c>
      <c r="D61" s="28" t="n">
        <v>0.5</v>
      </c>
      <c r="E61" s="28" t="n">
        <v>0.4</v>
      </c>
      <c r="F61" s="23"/>
      <c r="G61" s="23" t="s">
        <v>72</v>
      </c>
    </row>
    <row r="62" customFormat="false" ht="30" hidden="false" customHeight="true" outlineLevel="0" collapsed="false">
      <c r="A62" s="23" t="s">
        <v>171</v>
      </c>
      <c r="B62" s="23" t="s">
        <v>170</v>
      </c>
      <c r="C62" s="28" t="n">
        <v>3</v>
      </c>
      <c r="D62" s="28" t="n">
        <v>2</v>
      </c>
      <c r="E62" s="28" t="n">
        <v>1.5</v>
      </c>
      <c r="F62" s="23"/>
      <c r="G62" s="23" t="s">
        <v>72</v>
      </c>
    </row>
    <row r="63" customFormat="false" ht="15" hidden="false" customHeight="false" outlineLevel="0" collapsed="false">
      <c r="A63" s="23" t="s">
        <v>172</v>
      </c>
      <c r="B63" s="23" t="s">
        <v>170</v>
      </c>
      <c r="C63" s="28" t="n">
        <v>2</v>
      </c>
      <c r="D63" s="28" t="n">
        <v>1.5</v>
      </c>
      <c r="E63" s="28" t="n">
        <v>1</v>
      </c>
      <c r="F63" s="23" t="s">
        <v>173</v>
      </c>
      <c r="G63" s="23" t="s">
        <v>72</v>
      </c>
    </row>
    <row r="64" customFormat="false" ht="15" hidden="false" customHeight="false" outlineLevel="0" collapsed="false">
      <c r="A64" s="23" t="s">
        <v>174</v>
      </c>
      <c r="B64" s="23" t="s">
        <v>170</v>
      </c>
      <c r="C64" s="28" t="n">
        <v>1.5</v>
      </c>
      <c r="D64" s="28" t="n">
        <v>1</v>
      </c>
      <c r="E64" s="28" t="n">
        <v>0.75</v>
      </c>
      <c r="F64" s="23"/>
      <c r="G64" s="23" t="s">
        <v>72</v>
      </c>
    </row>
    <row r="65" customFormat="false" ht="15" hidden="false" customHeight="false" outlineLevel="0" collapsed="false">
      <c r="A65" s="23" t="s">
        <v>175</v>
      </c>
      <c r="B65" s="23" t="s">
        <v>170</v>
      </c>
      <c r="C65" s="28" t="n">
        <v>0.3</v>
      </c>
      <c r="D65" s="28" t="n">
        <v>0.25</v>
      </c>
      <c r="E65" s="28" t="n">
        <v>0.2</v>
      </c>
      <c r="F65" s="23" t="s">
        <v>176</v>
      </c>
      <c r="G65" s="23" t="s">
        <v>72</v>
      </c>
    </row>
    <row r="66" customFormat="false" ht="15" hidden="false" customHeight="false" outlineLevel="0" collapsed="false">
      <c r="A66" s="23" t="s">
        <v>177</v>
      </c>
      <c r="B66" s="23" t="s">
        <v>170</v>
      </c>
      <c r="C66" s="24" t="n">
        <v>6</v>
      </c>
      <c r="D66" s="24" t="n">
        <v>6</v>
      </c>
      <c r="E66" s="24" t="n">
        <v>5</v>
      </c>
      <c r="F66" s="23"/>
      <c r="G66" s="23" t="s">
        <v>72</v>
      </c>
    </row>
    <row r="67" customFormat="false" ht="15" hidden="false" customHeight="false" outlineLevel="0" collapsed="false">
      <c r="A67" s="23" t="s">
        <v>178</v>
      </c>
      <c r="B67" s="23" t="s">
        <v>179</v>
      </c>
      <c r="C67" s="24" t="n">
        <v>4</v>
      </c>
      <c r="D67" s="24" t="n">
        <v>3</v>
      </c>
      <c r="E67" s="24" t="n">
        <v>3</v>
      </c>
      <c r="F67" s="23"/>
      <c r="G67" s="23" t="s">
        <v>72</v>
      </c>
    </row>
    <row r="68" customFormat="false" ht="15" hidden="false" customHeight="false" outlineLevel="0" collapsed="false">
      <c r="A68" s="23" t="s">
        <v>180</v>
      </c>
      <c r="B68" s="23" t="s">
        <v>179</v>
      </c>
      <c r="C68" s="24" t="n">
        <v>18</v>
      </c>
      <c r="D68" s="24" t="n">
        <v>25</v>
      </c>
      <c r="E68" s="24" t="n">
        <v>30</v>
      </c>
      <c r="F68" s="23" t="s">
        <v>181</v>
      </c>
      <c r="G68" s="23" t="s">
        <v>72</v>
      </c>
    </row>
    <row r="69" customFormat="false" ht="15" hidden="false" customHeight="false" outlineLevel="0" collapsed="false">
      <c r="A69" s="23" t="s">
        <v>182</v>
      </c>
      <c r="B69" s="23" t="s">
        <v>179</v>
      </c>
      <c r="C69" s="24" t="n">
        <v>60</v>
      </c>
      <c r="D69" s="24" t="n">
        <v>70</v>
      </c>
      <c r="E69" s="24" t="n">
        <v>80</v>
      </c>
      <c r="F69" s="23" t="s">
        <v>183</v>
      </c>
      <c r="G69" s="23" t="s">
        <v>72</v>
      </c>
    </row>
    <row r="70" customFormat="false" ht="15" hidden="false" customHeight="false" outlineLevel="0" collapsed="false">
      <c r="A70" s="23" t="s">
        <v>184</v>
      </c>
      <c r="B70" s="23" t="s">
        <v>185</v>
      </c>
      <c r="C70" s="27" t="n">
        <v>10</v>
      </c>
      <c r="D70" s="27" t="n">
        <v>9</v>
      </c>
      <c r="E70" s="27" t="n">
        <v>8</v>
      </c>
      <c r="F70" s="23" t="s">
        <v>186</v>
      </c>
      <c r="G70" s="23" t="s">
        <v>187</v>
      </c>
    </row>
    <row r="71" customFormat="false" ht="15" hidden="false" customHeight="false" outlineLevel="0" collapsed="false">
      <c r="A71" s="23" t="s">
        <v>188</v>
      </c>
      <c r="B71" s="23" t="s">
        <v>189</v>
      </c>
      <c r="C71" s="29" t="n">
        <v>1.3</v>
      </c>
      <c r="D71" s="29" t="n">
        <v>1.25</v>
      </c>
      <c r="E71" s="29" t="n">
        <v>1.2</v>
      </c>
      <c r="F71" s="23"/>
      <c r="G71" s="23" t="s">
        <v>72</v>
      </c>
    </row>
    <row r="72" customFormat="false" ht="15" hidden="false" customHeight="false" outlineLevel="0" collapsed="false">
      <c r="A72" s="21" t="s">
        <v>190</v>
      </c>
      <c r="B72" s="22"/>
      <c r="C72" s="22"/>
      <c r="D72" s="22"/>
      <c r="E72" s="22"/>
      <c r="F72" s="22"/>
      <c r="G72" s="22"/>
    </row>
    <row r="73" customFormat="false" ht="30" hidden="false" customHeight="true" outlineLevel="0" collapsed="false">
      <c r="A73" s="23" t="s">
        <v>191</v>
      </c>
      <c r="B73" s="23" t="s">
        <v>80</v>
      </c>
      <c r="C73" s="25" t="n">
        <v>0.3</v>
      </c>
      <c r="D73" s="25" t="n">
        <v>0.28</v>
      </c>
      <c r="E73" s="25" t="n">
        <v>0.25</v>
      </c>
      <c r="F73" s="23"/>
      <c r="G73" s="23" t="s">
        <v>72</v>
      </c>
    </row>
    <row r="74" customFormat="false" ht="15" hidden="false" customHeight="false" outlineLevel="0" collapsed="false">
      <c r="A74" s="23" t="s">
        <v>192</v>
      </c>
      <c r="B74" s="23" t="s">
        <v>160</v>
      </c>
      <c r="C74" s="26" t="n">
        <v>200000</v>
      </c>
      <c r="D74" s="26" t="n">
        <v>200000</v>
      </c>
      <c r="E74" s="26" t="n">
        <v>200000</v>
      </c>
      <c r="F74" s="23" t="s">
        <v>193</v>
      </c>
      <c r="G74" s="23" t="s">
        <v>194</v>
      </c>
    </row>
    <row r="75" customFormat="false" ht="15" hidden="false" customHeight="false" outlineLevel="0" collapsed="false">
      <c r="A75" s="23" t="s">
        <v>195</v>
      </c>
      <c r="B75" s="23" t="s">
        <v>160</v>
      </c>
      <c r="C75" s="26" t="n">
        <v>100000</v>
      </c>
      <c r="D75" s="26" t="n">
        <v>100000</v>
      </c>
      <c r="E75" s="26" t="n">
        <v>100000</v>
      </c>
      <c r="F75" s="23"/>
      <c r="G75" s="23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I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61" min="3" style="0" width="11"/>
  </cols>
  <sheetData>
    <row r="1" customFormat="false" ht="15" hidden="false" customHeight="false" outlineLevel="0" collapsed="false">
      <c r="A1" s="30" t="s">
        <v>196</v>
      </c>
    </row>
    <row r="2" customFormat="false" ht="15" hidden="false" customHeight="false" outlineLevel="0" collapsed="false">
      <c r="A2" s="2" t="s">
        <v>197</v>
      </c>
      <c r="D2" s="2" t="s">
        <v>198</v>
      </c>
    </row>
    <row r="4" customFormat="false" ht="54" hidden="false" customHeight="true" outlineLevel="0" collapsed="false">
      <c r="A4" s="16" t="s">
        <v>199</v>
      </c>
      <c r="B4" s="16" t="s">
        <v>200</v>
      </c>
      <c r="C4" s="16" t="s">
        <v>57</v>
      </c>
      <c r="D4" s="16" t="s">
        <v>201</v>
      </c>
      <c r="E4" s="16" t="s">
        <v>202</v>
      </c>
      <c r="F4" s="16" t="s">
        <v>203</v>
      </c>
      <c r="G4" s="16" t="s">
        <v>204</v>
      </c>
      <c r="H4" s="16" t="s">
        <v>205</v>
      </c>
      <c r="I4" s="16" t="s">
        <v>206</v>
      </c>
      <c r="J4" s="16" t="s">
        <v>207</v>
      </c>
      <c r="K4" s="16" t="s">
        <v>208</v>
      </c>
      <c r="L4" s="16" t="s">
        <v>209</v>
      </c>
      <c r="M4" s="16" t="s">
        <v>210</v>
      </c>
      <c r="N4" s="16" t="s">
        <v>211</v>
      </c>
      <c r="O4" s="16" t="s">
        <v>212</v>
      </c>
      <c r="P4" s="16" t="s">
        <v>213</v>
      </c>
      <c r="Q4" s="16" t="s">
        <v>214</v>
      </c>
      <c r="R4" s="16" t="s">
        <v>215</v>
      </c>
      <c r="S4" s="16" t="s">
        <v>216</v>
      </c>
      <c r="T4" s="16" t="s">
        <v>217</v>
      </c>
      <c r="U4" s="16" t="s">
        <v>218</v>
      </c>
      <c r="V4" s="16" t="s">
        <v>11</v>
      </c>
      <c r="W4" s="16" t="s">
        <v>219</v>
      </c>
      <c r="X4" s="16" t="s">
        <v>220</v>
      </c>
      <c r="Y4" s="16" t="s">
        <v>221</v>
      </c>
      <c r="Z4" s="16" t="s">
        <v>222</v>
      </c>
      <c r="AA4" s="16" t="s">
        <v>223</v>
      </c>
      <c r="AB4" s="16" t="s">
        <v>224</v>
      </c>
      <c r="AC4" s="16" t="s">
        <v>225</v>
      </c>
      <c r="AD4" s="16" t="s">
        <v>226</v>
      </c>
      <c r="AE4" s="16" t="s">
        <v>227</v>
      </c>
      <c r="AF4" s="16" t="s">
        <v>228</v>
      </c>
      <c r="AG4" s="16" t="s">
        <v>229</v>
      </c>
      <c r="AH4" s="16" t="s">
        <v>230</v>
      </c>
      <c r="AI4" s="16" t="s">
        <v>17</v>
      </c>
      <c r="AJ4" s="16" t="s">
        <v>231</v>
      </c>
      <c r="AK4" s="16" t="s">
        <v>232</v>
      </c>
      <c r="AL4" s="16" t="s">
        <v>233</v>
      </c>
      <c r="AM4" s="16" t="s">
        <v>234</v>
      </c>
      <c r="AN4" s="16" t="s">
        <v>235</v>
      </c>
      <c r="AO4" s="16" t="s">
        <v>236</v>
      </c>
      <c r="AP4" s="16" t="s">
        <v>237</v>
      </c>
      <c r="AQ4" s="16" t="s">
        <v>238</v>
      </c>
      <c r="AR4" s="16" t="s">
        <v>239</v>
      </c>
      <c r="AS4" s="16" t="s">
        <v>240</v>
      </c>
      <c r="AT4" s="16" t="s">
        <v>241</v>
      </c>
      <c r="AU4" s="16" t="s">
        <v>242</v>
      </c>
      <c r="AV4" s="16" t="s">
        <v>243</v>
      </c>
      <c r="AW4" s="16" t="s">
        <v>244</v>
      </c>
      <c r="AX4" s="16" t="s">
        <v>20</v>
      </c>
      <c r="AY4" s="16" t="s">
        <v>245</v>
      </c>
      <c r="AZ4" s="16" t="s">
        <v>246</v>
      </c>
      <c r="BA4" s="16" t="s">
        <v>247</v>
      </c>
      <c r="BB4" s="16" t="s">
        <v>248</v>
      </c>
      <c r="BC4" s="16" t="s">
        <v>249</v>
      </c>
      <c r="BD4" s="16" t="s">
        <v>250</v>
      </c>
      <c r="BE4" s="16" t="s">
        <v>251</v>
      </c>
      <c r="BF4" s="16" t="s">
        <v>252</v>
      </c>
      <c r="BG4" s="16" t="s">
        <v>253</v>
      </c>
      <c r="BH4" s="16" t="s">
        <v>254</v>
      </c>
      <c r="BI4" s="16" t="s">
        <v>255</v>
      </c>
    </row>
    <row r="5" customFormat="false" ht="15" hidden="false" customHeight="false" outlineLevel="0" collapsed="false">
      <c r="A5" s="31" t="n">
        <v>1</v>
      </c>
      <c r="B5" s="32" t="n">
        <f aca="false">DATE(2026,10+A5,1)</f>
        <v>46327</v>
      </c>
      <c r="C5" s="31" t="n">
        <f aca="false">INT((A5-1)/12)+1</f>
        <v>1</v>
      </c>
      <c r="D5" s="31" t="n">
        <f aca="false">IF(C5=1,Assumptions!$C$7,IF(C5=2,Assumptions!$C$8,Assumptions!$C$9))</f>
        <v>10</v>
      </c>
      <c r="E5" s="31" t="n">
        <f aca="false">D5*Assumptions!$C$10</f>
        <v>200</v>
      </c>
      <c r="F5" s="33" t="n">
        <f aca="false">E5*Assumptions!$C$11</f>
        <v>10</v>
      </c>
      <c r="G5" s="34" t="n">
        <f aca="false">MIN(1,Assumptions!$C$13+(1-Assumptions!$C$13)*(A5-1)/Assumptions!$C$14)</f>
        <v>0.4</v>
      </c>
      <c r="H5" s="33" t="n">
        <f aca="false">F5*Assumptions!$C$12*G5</f>
        <v>0.4</v>
      </c>
      <c r="I5" s="33" t="n">
        <f aca="false">Assumptions!$C$15*(0+0+0+0)</f>
        <v>0</v>
      </c>
      <c r="J5" s="33" t="n">
        <f aca="false">H5+I5</f>
        <v>0.4</v>
      </c>
      <c r="K5" s="33" t="n">
        <f aca="false">J5*Assumptions!$C$18</f>
        <v>0</v>
      </c>
      <c r="L5" s="33" t="n">
        <f aca="false">(J5-K5)*Assumptions!$C$17</f>
        <v>0.28</v>
      </c>
      <c r="M5" s="33" t="n">
        <f aca="false">J5-K5-L5</f>
        <v>0.12</v>
      </c>
      <c r="N5" s="33" t="n">
        <f aca="false">L5*Assumptions!$C$19</f>
        <v>0.042</v>
      </c>
      <c r="O5" s="33" t="n">
        <f aca="false">L5-N5</f>
        <v>0.238</v>
      </c>
      <c r="P5" s="33" t="n">
        <f aca="false">0</f>
        <v>0</v>
      </c>
      <c r="Q5" s="33" t="n">
        <f aca="false">0*(1-Assumptions!$C$20)+O5-P5</f>
        <v>0.238</v>
      </c>
      <c r="R5" s="33" t="n">
        <f aca="false">0*(1-Assumptions!$C$22)+P5*(1-Assumptions!$C$21)</f>
        <v>0</v>
      </c>
      <c r="S5" s="33" t="n">
        <f aca="false">Q5+R5</f>
        <v>0.238</v>
      </c>
      <c r="T5" s="33" t="n">
        <f aca="false">0*(1-Assumptions!$C$24)+M5*Assumptions!$C$23</f>
        <v>0.024</v>
      </c>
      <c r="U5" s="33" t="n">
        <f aca="false">0*(1-Assumptions!$C$25)+K5</f>
        <v>0</v>
      </c>
      <c r="V5" s="33" t="n">
        <f aca="false">0+M5</f>
        <v>0.12</v>
      </c>
      <c r="W5" s="33" t="n">
        <f aca="false">N5+0*Assumptions!$C$20+P5*Assumptions!$C$21+0*Assumptions!$C$22+0*Assumptions!$C$24+0*Assumptions!$C$25</f>
        <v>0.042</v>
      </c>
      <c r="X5" s="33" t="n">
        <f aca="false">IF(A5&lt;Assumptions!$C$34,0,Assumptions!$C$36*MIN(1,(A5-Assumptions!$C$34+1)/Assumptions!$C$35))*(S5+T5)</f>
        <v>0</v>
      </c>
      <c r="Y5" s="31" t="n">
        <f aca="false">IF(AND(A5&gt;=Assumptions!$C$41,0+0+0&gt;=Assumptions!$C$40),A5,0)</f>
        <v>0</v>
      </c>
      <c r="Z5" s="33" t="n">
        <f aca="false">IF(Y5&gt;0,Assumptions!$C$42*MIN(1,(A5-Y5+1)/Assumptions!$C$43),0)*(S5+T5)</f>
        <v>0</v>
      </c>
      <c r="AA5" s="35" t="n">
        <f aca="false">(1+Assumptions!$C$32)^(C5-1)</f>
        <v>1</v>
      </c>
      <c r="AB5" s="36" t="n">
        <f aca="false">O5*Assumptions!$C$27*AA5</f>
        <v>23.562</v>
      </c>
      <c r="AC5" s="36" t="n">
        <f aca="false">(0+0)*Assumptions!$C$28*AA5</f>
        <v>0</v>
      </c>
      <c r="AD5" s="36" t="n">
        <f aca="false">M5*Assumptions!$C$29*AA5</f>
        <v>59.88</v>
      </c>
      <c r="AE5" s="36" t="n">
        <f aca="false">0*Assumptions!$C$30*AA5</f>
        <v>0</v>
      </c>
      <c r="AF5" s="36" t="n">
        <f aca="false">0*Assumptions!$C$31*AA5</f>
        <v>0</v>
      </c>
      <c r="AG5" s="36" t="n">
        <f aca="false">X5*Assumptions!$C$37*Assumptions!$C$38</f>
        <v>0</v>
      </c>
      <c r="AH5" s="36" t="n">
        <f aca="false">Z5*Assumptions!$C$44*Assumptions!$C$45</f>
        <v>0</v>
      </c>
      <c r="AI5" s="36" t="n">
        <f aca="false">SUM(AB5:AH5)</f>
        <v>83.442</v>
      </c>
      <c r="AJ5" s="36" t="n">
        <f aca="false">(S5*Assumptions!$C$28+T5*Assumptions!$C$30+U5*Assumptions!$C$31)*AA5+AG5+AH5</f>
        <v>25.458</v>
      </c>
      <c r="AK5" s="36" t="n">
        <f aca="false">(AI5-AH5)*Assumptions!$C$49</f>
        <v>3.33768</v>
      </c>
      <c r="AL5" s="36" t="n">
        <f aca="false">(AC5+AE5+AF5)*Assumptions!$C$50</f>
        <v>0</v>
      </c>
      <c r="AM5" s="36" t="n">
        <f aca="false">S5*Assumptions!$C$51+M5*Assumptions!$C$52</f>
        <v>2.0975</v>
      </c>
      <c r="AN5" s="36" t="n">
        <f aca="false">Assumptions!$C$53+Assumptions!$C$54*(S5+T5+U5)</f>
        <v>201.048</v>
      </c>
      <c r="AO5" s="36" t="n">
        <f aca="false">IF(C5&gt;=2,Assumptions!$C$55,0)</f>
        <v>0</v>
      </c>
      <c r="AP5" s="33" t="n">
        <f aca="false">E5*Assumptions!$C$60/60+F5*Assumptions!$C$61+J5*Assumptions!$C$62+(S5+T5)*Assumptions!$C$63+X5*Assumptions!$C$64+Z5*Assumptions!$C$65+U5*Assumptions!$C$66+Assumptions!$C$67*52/12</f>
        <v>38.3906666666667</v>
      </c>
      <c r="AQ5" s="33" t="n">
        <f aca="false">IF(0=1,Assumptions!$C$69,Assumptions!$C$68)*52/12</f>
        <v>78</v>
      </c>
      <c r="AR5" s="33" t="n">
        <f aca="false">MAX(0,AP5-AQ5)</f>
        <v>0</v>
      </c>
      <c r="AS5" s="36" t="n">
        <f aca="false">AR5*Assumptions!$C$70*Assumptions!$C$71</f>
        <v>0</v>
      </c>
      <c r="AT5" s="36" t="n">
        <f aca="false">Assumptions!$C$56/12</f>
        <v>100</v>
      </c>
      <c r="AU5" s="36" t="n">
        <f aca="false">IF(A5=1,Assumptions!$C$57,0)+Assumptions!$C$58</f>
        <v>360</v>
      </c>
      <c r="AV5" s="36" t="n">
        <f aca="false">IF(AND(Y5&gt;0,Y5=A5),Assumptions!$C$46,0)+IF(Y5&gt;0,Assumptions!$C$47,0)</f>
        <v>0</v>
      </c>
      <c r="AW5" s="36" t="n">
        <f aca="false">AK5+AL5+AM5+AN5+AO5+AS5+AT5+AU5+AV5</f>
        <v>666.48318</v>
      </c>
      <c r="AX5" s="36" t="n">
        <f aca="false">AI5-AW5</f>
        <v>-583.04118</v>
      </c>
      <c r="AY5" s="36" t="n">
        <f aca="false">MAX(0,AX5)*Assumptions!$C$73</f>
        <v>0</v>
      </c>
      <c r="AZ5" s="36" t="n">
        <f aca="false">AX5-AY5</f>
        <v>-583.04118</v>
      </c>
      <c r="BA5" s="36" t="n">
        <f aca="false">0+AZ5</f>
        <v>-583.04118</v>
      </c>
      <c r="BB5" s="31" t="n">
        <f aca="false">IF(AZ5&gt;=Assumptions!$C$74/12,0+1,0)</f>
        <v>0</v>
      </c>
      <c r="BC5" s="31" t="n">
        <f aca="false">IF(OR(0=1,BB5&gt;=3),1,0)</f>
        <v>0</v>
      </c>
      <c r="BD5" s="31" t="n">
        <f aca="false">IF(AZ5&gt;=Assumptions!$C$75/12,0+1,0)</f>
        <v>0</v>
      </c>
      <c r="BE5" s="33" t="n">
        <f aca="false">AP5*12/52</f>
        <v>8.85938461538462</v>
      </c>
      <c r="BF5" s="33" t="n">
        <f aca="false">AR5*12/52</f>
        <v>0</v>
      </c>
      <c r="BG5" s="31" t="n">
        <f aca="false">IF(AX5&gt;0,A5,999)</f>
        <v>999</v>
      </c>
      <c r="BH5" s="31" t="n">
        <f aca="false">IF(BB5&gt;=3,A5,999)</f>
        <v>999</v>
      </c>
      <c r="BI5" s="31" t="n">
        <f aca="false">IF(BD5&gt;=3,A5,999)</f>
        <v>999</v>
      </c>
    </row>
    <row r="6" customFormat="false" ht="15" hidden="false" customHeight="false" outlineLevel="0" collapsed="false">
      <c r="A6" s="31" t="n">
        <v>2</v>
      </c>
      <c r="B6" s="32" t="n">
        <f aca="false">DATE(2026,10+A6,1)</f>
        <v>46357</v>
      </c>
      <c r="C6" s="31" t="n">
        <f aca="false">INT((A6-1)/12)+1</f>
        <v>1</v>
      </c>
      <c r="D6" s="31" t="n">
        <f aca="false">IF(C6=1,Assumptions!$C$7,IF(C6=2,Assumptions!$C$8,Assumptions!$C$9))</f>
        <v>10</v>
      </c>
      <c r="E6" s="31" t="n">
        <f aca="false">D6*Assumptions!$C$10</f>
        <v>200</v>
      </c>
      <c r="F6" s="33" t="n">
        <f aca="false">E6*Assumptions!$C$11</f>
        <v>10</v>
      </c>
      <c r="G6" s="34" t="n">
        <f aca="false">MIN(1,Assumptions!$C$13+(1-Assumptions!$C$13)*(A6-1)/Assumptions!$C$14)</f>
        <v>0.466666666666667</v>
      </c>
      <c r="H6" s="33" t="n">
        <f aca="false">F6*Assumptions!$C$12*G6</f>
        <v>0.466666666666667</v>
      </c>
      <c r="I6" s="33" t="n">
        <f aca="false">Assumptions!$C$15*(Q5+R5+T5+U5)</f>
        <v>0.00131</v>
      </c>
      <c r="J6" s="33" t="n">
        <f aca="false">H6+I6</f>
        <v>0.467976666666667</v>
      </c>
      <c r="K6" s="33" t="n">
        <f aca="false">J6*Assumptions!$C$18</f>
        <v>0</v>
      </c>
      <c r="L6" s="33" t="n">
        <f aca="false">(J6-K6)*Assumptions!$C$17</f>
        <v>0.327583666666667</v>
      </c>
      <c r="M6" s="33" t="n">
        <f aca="false">J6-K6-L6</f>
        <v>0.140393</v>
      </c>
      <c r="N6" s="33" t="n">
        <f aca="false">L6*Assumptions!$C$19</f>
        <v>0.04913755</v>
      </c>
      <c r="O6" s="33" t="n">
        <f aca="false">L6-N6</f>
        <v>0.278446116666667</v>
      </c>
      <c r="P6" s="33" t="n">
        <f aca="false">0</f>
        <v>0</v>
      </c>
      <c r="Q6" s="33" t="n">
        <f aca="false">Q5*(1-Assumptions!$C$20)+O6-P6</f>
        <v>0.511686116666667</v>
      </c>
      <c r="R6" s="33" t="n">
        <f aca="false">R5*(1-Assumptions!$C$22)+P6*(1-Assumptions!$C$21)</f>
        <v>0</v>
      </c>
      <c r="S6" s="33" t="n">
        <f aca="false">Q6+R6</f>
        <v>0.511686116666667</v>
      </c>
      <c r="T6" s="33" t="n">
        <f aca="false">T5*(1-Assumptions!$C$24)+M6*Assumptions!$C$23</f>
        <v>0.0506386</v>
      </c>
      <c r="U6" s="33" t="n">
        <f aca="false">U5*(1-Assumptions!$C$25)+K6</f>
        <v>0</v>
      </c>
      <c r="V6" s="33" t="n">
        <f aca="false">V5+M6</f>
        <v>0.260393</v>
      </c>
      <c r="W6" s="33" t="n">
        <f aca="false">N6+Q5*Assumptions!$C$20+P6*Assumptions!$C$21+R5*Assumptions!$C$22+T5*Assumptions!$C$24+U5*Assumptions!$C$25</f>
        <v>0.05533755</v>
      </c>
      <c r="X6" s="33" t="n">
        <f aca="false">IF(A6&lt;Assumptions!$C$34,0,Assumptions!$C$36*MIN(1,(A6-Assumptions!$C$34+1)/Assumptions!$C$35))*(S6+T6)</f>
        <v>0</v>
      </c>
      <c r="Y6" s="31" t="n">
        <f aca="false">IF(Y5&gt;0,Y5,IF(AND(A6&gt;=Assumptions!$C$41,Q5+R5+T5&gt;=Assumptions!$C$40),A6,0))</f>
        <v>0</v>
      </c>
      <c r="Z6" s="33" t="n">
        <f aca="false">IF(Y6&gt;0,Assumptions!$C$42*MIN(1,(A6-Y6+1)/Assumptions!$C$43),0)*(S6+T6)</f>
        <v>0</v>
      </c>
      <c r="AA6" s="35" t="n">
        <f aca="false">(1+Assumptions!$C$32)^(C6-1)</f>
        <v>1</v>
      </c>
      <c r="AB6" s="36" t="n">
        <f aca="false">O6*Assumptions!$C$27*AA6</f>
        <v>27.56616555</v>
      </c>
      <c r="AC6" s="36" t="n">
        <f aca="false">(Q5+R5)*Assumptions!$C$28*AA6</f>
        <v>23.562</v>
      </c>
      <c r="AD6" s="36" t="n">
        <f aca="false">M6*Assumptions!$C$29*AA6</f>
        <v>70.056107</v>
      </c>
      <c r="AE6" s="36" t="n">
        <f aca="false">T5*Assumptions!$C$30*AA6</f>
        <v>1.896</v>
      </c>
      <c r="AF6" s="36" t="n">
        <f aca="false">U5*Assumptions!$C$31*AA6</f>
        <v>0</v>
      </c>
      <c r="AG6" s="36" t="n">
        <f aca="false">X6*Assumptions!$C$37*Assumptions!$C$38</f>
        <v>0</v>
      </c>
      <c r="AH6" s="36" t="n">
        <f aca="false">Z6*Assumptions!$C$44*Assumptions!$C$45</f>
        <v>0</v>
      </c>
      <c r="AI6" s="36" t="n">
        <f aca="false">SUM(AB6:AH6)</f>
        <v>123.08027255</v>
      </c>
      <c r="AJ6" s="36" t="n">
        <f aca="false">(S6*Assumptions!$C$28+T6*Assumptions!$C$30+U6*Assumptions!$C$31)*AA6+AG6+AH6</f>
        <v>54.65737495</v>
      </c>
      <c r="AK6" s="36" t="n">
        <f aca="false">(AI6-AH6)*Assumptions!$C$49</f>
        <v>4.923210902</v>
      </c>
      <c r="AL6" s="36" t="n">
        <f aca="false">(AC6+AE6+AF6)*Assumptions!$C$50</f>
        <v>0.178206</v>
      </c>
      <c r="AM6" s="36" t="n">
        <f aca="false">S6*Assumptions!$C$51+M6*Assumptions!$C$52</f>
        <v>2.74550264583333</v>
      </c>
      <c r="AN6" s="36" t="n">
        <f aca="false">Assumptions!$C$53+Assumptions!$C$54*(S6+T6+U6)</f>
        <v>202.249298866667</v>
      </c>
      <c r="AO6" s="36" t="n">
        <f aca="false">IF(C6&gt;=2,Assumptions!$C$55,0)</f>
        <v>0</v>
      </c>
      <c r="AP6" s="33" t="n">
        <f aca="false">E6*Assumptions!$C$60/60+F6*Assumptions!$C$61+J6*Assumptions!$C$62+(S6+T6)*Assumptions!$C$63+X6*Assumptions!$C$64+Z6*Assumptions!$C$65+U6*Assumptions!$C$66+Assumptions!$C$67*52/12</f>
        <v>39.1952461</v>
      </c>
      <c r="AQ6" s="33" t="n">
        <f aca="false">IF(BC5=1,Assumptions!$C$69,Assumptions!$C$68)*52/12</f>
        <v>78</v>
      </c>
      <c r="AR6" s="33" t="n">
        <f aca="false">MAX(0,AP6-AQ6)</f>
        <v>0</v>
      </c>
      <c r="AS6" s="36" t="n">
        <f aca="false">AR6*Assumptions!$C$70*Assumptions!$C$71</f>
        <v>0</v>
      </c>
      <c r="AT6" s="36" t="n">
        <f aca="false">Assumptions!$C$56/12</f>
        <v>100</v>
      </c>
      <c r="AU6" s="36" t="n">
        <f aca="false">IF(A6=1,Assumptions!$C$57,0)+Assumptions!$C$58</f>
        <v>60</v>
      </c>
      <c r="AV6" s="36" t="n">
        <f aca="false">IF(AND(Y6&gt;0,Y6=A6),Assumptions!$C$46,0)+IF(Y6&gt;0,Assumptions!$C$47,0)</f>
        <v>0</v>
      </c>
      <c r="AW6" s="36" t="n">
        <f aca="false">AK6+AL6+AM6+AN6+AO6+AS6+AT6+AU6+AV6</f>
        <v>370.0962184145</v>
      </c>
      <c r="AX6" s="36" t="n">
        <f aca="false">AI6-AW6</f>
        <v>-247.0159458645</v>
      </c>
      <c r="AY6" s="36" t="n">
        <f aca="false">MAX(0,AX6)*Assumptions!$C$73</f>
        <v>0</v>
      </c>
      <c r="AZ6" s="36" t="n">
        <f aca="false">AX6-AY6</f>
        <v>-247.0159458645</v>
      </c>
      <c r="BA6" s="36" t="n">
        <f aca="false">BA5+AZ6</f>
        <v>-830.0571258645</v>
      </c>
      <c r="BB6" s="31" t="n">
        <f aca="false">IF(AZ6&gt;=Assumptions!$C$74/12,BB5+1,0)</f>
        <v>0</v>
      </c>
      <c r="BC6" s="31" t="n">
        <f aca="false">IF(OR(BC5=1,BB6&gt;=3),1,0)</f>
        <v>0</v>
      </c>
      <c r="BD6" s="31" t="n">
        <f aca="false">IF(AZ6&gt;=Assumptions!$C$75/12,BD5+1,0)</f>
        <v>0</v>
      </c>
      <c r="BE6" s="33" t="n">
        <f aca="false">AP6*12/52</f>
        <v>9.04505679230769</v>
      </c>
      <c r="BF6" s="33" t="n">
        <f aca="false">AR6*12/52</f>
        <v>0</v>
      </c>
      <c r="BG6" s="31" t="n">
        <f aca="false">IF(AX6&gt;0,A6,999)</f>
        <v>999</v>
      </c>
      <c r="BH6" s="31" t="n">
        <f aca="false">IF(BB6&gt;=3,A6,999)</f>
        <v>999</v>
      </c>
      <c r="BI6" s="31" t="n">
        <f aca="false">IF(BD6&gt;=3,A6,999)</f>
        <v>999</v>
      </c>
    </row>
    <row r="7" customFormat="false" ht="15" hidden="false" customHeight="false" outlineLevel="0" collapsed="false">
      <c r="A7" s="31" t="n">
        <v>3</v>
      </c>
      <c r="B7" s="32" t="n">
        <f aca="false">DATE(2026,10+A7,1)</f>
        <v>46388</v>
      </c>
      <c r="C7" s="31" t="n">
        <f aca="false">INT((A7-1)/12)+1</f>
        <v>1</v>
      </c>
      <c r="D7" s="31" t="n">
        <f aca="false">IF(C7=1,Assumptions!$C$7,IF(C7=2,Assumptions!$C$8,Assumptions!$C$9))</f>
        <v>10</v>
      </c>
      <c r="E7" s="31" t="n">
        <f aca="false">D7*Assumptions!$C$10</f>
        <v>200</v>
      </c>
      <c r="F7" s="33" t="n">
        <f aca="false">E7*Assumptions!$C$11</f>
        <v>10</v>
      </c>
      <c r="G7" s="34" t="n">
        <f aca="false">MIN(1,Assumptions!$C$13+(1-Assumptions!$C$13)*(A7-1)/Assumptions!$C$14)</f>
        <v>0.533333333333333</v>
      </c>
      <c r="H7" s="33" t="n">
        <f aca="false">F7*Assumptions!$C$12*G7</f>
        <v>0.533333333333333</v>
      </c>
      <c r="I7" s="33" t="n">
        <f aca="false">Assumptions!$C$15*(Q6+R6+T6+U6)</f>
        <v>0.00281162358333333</v>
      </c>
      <c r="J7" s="33" t="n">
        <f aca="false">H7+I7</f>
        <v>0.536144956916667</v>
      </c>
      <c r="K7" s="33" t="n">
        <f aca="false">J7*Assumptions!$C$18</f>
        <v>0</v>
      </c>
      <c r="L7" s="33" t="n">
        <f aca="false">(J7-K7)*Assumptions!$C$17</f>
        <v>0.375301469841667</v>
      </c>
      <c r="M7" s="33" t="n">
        <f aca="false">J7-K7-L7</f>
        <v>0.160843487075</v>
      </c>
      <c r="N7" s="33" t="n">
        <f aca="false">L7*Assumptions!$C$19</f>
        <v>0.05629522047625</v>
      </c>
      <c r="O7" s="33" t="n">
        <f aca="false">L7-N7</f>
        <v>0.319006249365417</v>
      </c>
      <c r="P7" s="33" t="n">
        <f aca="false">0</f>
        <v>0</v>
      </c>
      <c r="Q7" s="33" t="n">
        <f aca="false">Q6*(1-Assumptions!$C$20)+O7-P7</f>
        <v>0.82045864369875</v>
      </c>
      <c r="R7" s="33" t="n">
        <f aca="false">R6*(1-Assumptions!$C$22)+P7*(1-Assumptions!$C$21)</f>
        <v>0</v>
      </c>
      <c r="S7" s="33" t="n">
        <f aca="false">Q7+R7</f>
        <v>0.82045864369875</v>
      </c>
      <c r="T7" s="33" t="n">
        <f aca="false">T6*(1-Assumptions!$C$24)+M7*Assumptions!$C$23</f>
        <v>0.079768981415</v>
      </c>
      <c r="U7" s="33" t="n">
        <f aca="false">U6*(1-Assumptions!$C$25)+K7</f>
        <v>0</v>
      </c>
      <c r="V7" s="33" t="n">
        <f aca="false">V6+M7</f>
        <v>0.421236487075</v>
      </c>
      <c r="W7" s="33" t="n">
        <f aca="false">N7+Q6*Assumptions!$C$20+P7*Assumptions!$C$21+R6*Assumptions!$C$22+T6*Assumptions!$C$24+U6*Assumptions!$C$25</f>
        <v>0.0695672588095833</v>
      </c>
      <c r="X7" s="33" t="n">
        <f aca="false">IF(A7&lt;Assumptions!$C$34,0,Assumptions!$C$36*MIN(1,(A7-Assumptions!$C$34+1)/Assumptions!$C$35))*(S7+T7)</f>
        <v>0</v>
      </c>
      <c r="Y7" s="31" t="n">
        <f aca="false">IF(Y6&gt;0,Y6,IF(AND(A7&gt;=Assumptions!$C$41,Q6+R6+T6&gt;=Assumptions!$C$40),A7,0))</f>
        <v>0</v>
      </c>
      <c r="Z7" s="33" t="n">
        <f aca="false">IF(Y7&gt;0,Assumptions!$C$42*MIN(1,(A7-Y7+1)/Assumptions!$C$43),0)*(S7+T7)</f>
        <v>0</v>
      </c>
      <c r="AA7" s="35" t="n">
        <f aca="false">(1+Assumptions!$C$32)^(C7-1)</f>
        <v>1</v>
      </c>
      <c r="AB7" s="36" t="n">
        <f aca="false">O7*Assumptions!$C$27*AA7</f>
        <v>31.5816186871763</v>
      </c>
      <c r="AC7" s="36" t="n">
        <f aca="false">(Q6+R6)*Assumptions!$C$28*AA7</f>
        <v>50.65692555</v>
      </c>
      <c r="AD7" s="36" t="n">
        <f aca="false">M7*Assumptions!$C$29*AA7</f>
        <v>80.260900050425</v>
      </c>
      <c r="AE7" s="36" t="n">
        <f aca="false">T6*Assumptions!$C$30*AA7</f>
        <v>4.0004494</v>
      </c>
      <c r="AF7" s="36" t="n">
        <f aca="false">U6*Assumptions!$C$31*AA7</f>
        <v>0</v>
      </c>
      <c r="AG7" s="36" t="n">
        <f aca="false">X7*Assumptions!$C$37*Assumptions!$C$38</f>
        <v>0</v>
      </c>
      <c r="AH7" s="36" t="n">
        <f aca="false">Z7*Assumptions!$C$44*Assumptions!$C$45</f>
        <v>0</v>
      </c>
      <c r="AI7" s="36" t="n">
        <f aca="false">SUM(AB7:AH7)</f>
        <v>166.499893687601</v>
      </c>
      <c r="AJ7" s="36" t="n">
        <f aca="false">(S7*Assumptions!$C$28+T7*Assumptions!$C$30+U7*Assumptions!$C$31)*AA7+AG7+AH7</f>
        <v>87.5271552579613</v>
      </c>
      <c r="AK7" s="36" t="n">
        <f aca="false">(AI7-AH7)*Assumptions!$C$49</f>
        <v>6.65999574750405</v>
      </c>
      <c r="AL7" s="36" t="n">
        <f aca="false">(AC7+AE7+AF7)*Assumptions!$C$50</f>
        <v>0.38260162465</v>
      </c>
      <c r="AM7" s="36" t="n">
        <f aca="false">S7*Assumptions!$C$51+M7*Assumptions!$C$52</f>
        <v>3.43822561074844</v>
      </c>
      <c r="AN7" s="36" t="n">
        <f aca="false">Assumptions!$C$53+Assumptions!$C$54*(S7+T7+U7)</f>
        <v>203.600910500455</v>
      </c>
      <c r="AO7" s="36" t="n">
        <f aca="false">IF(C7&gt;=2,Assumptions!$C$55,0)</f>
        <v>0</v>
      </c>
      <c r="AP7" s="33" t="n">
        <f aca="false">E7*Assumptions!$C$60/60+F7*Assumptions!$C$61+J7*Assumptions!$C$62+(S7+T7)*Assumptions!$C$63+X7*Assumptions!$C$64+Z7*Assumptions!$C$65+U7*Assumptions!$C$66+Assumptions!$C$67*52/12</f>
        <v>40.0755567876442</v>
      </c>
      <c r="AQ7" s="33" t="n">
        <f aca="false">IF(BC6=1,Assumptions!$C$69,Assumptions!$C$68)*52/12</f>
        <v>78</v>
      </c>
      <c r="AR7" s="33" t="n">
        <f aca="false">MAX(0,AP7-AQ7)</f>
        <v>0</v>
      </c>
      <c r="AS7" s="36" t="n">
        <f aca="false">AR7*Assumptions!$C$70*Assumptions!$C$71</f>
        <v>0</v>
      </c>
      <c r="AT7" s="36" t="n">
        <f aca="false">Assumptions!$C$56/12</f>
        <v>100</v>
      </c>
      <c r="AU7" s="36" t="n">
        <f aca="false">IF(A7=1,Assumptions!$C$57,0)+Assumptions!$C$58</f>
        <v>60</v>
      </c>
      <c r="AV7" s="36" t="n">
        <f aca="false">IF(AND(Y7&gt;0,Y7=A7),Assumptions!$C$46,0)+IF(Y7&gt;0,Assumptions!$C$47,0)</f>
        <v>0</v>
      </c>
      <c r="AW7" s="36" t="n">
        <f aca="false">AK7+AL7+AM7+AN7+AO7+AS7+AT7+AU7+AV7</f>
        <v>374.081733483358</v>
      </c>
      <c r="AX7" s="36" t="n">
        <f aca="false">AI7-AW7</f>
        <v>-207.581839795756</v>
      </c>
      <c r="AY7" s="36" t="n">
        <f aca="false">MAX(0,AX7)*Assumptions!$C$73</f>
        <v>0</v>
      </c>
      <c r="AZ7" s="36" t="n">
        <f aca="false">AX7-AY7</f>
        <v>-207.581839795756</v>
      </c>
      <c r="BA7" s="36" t="n">
        <f aca="false">BA6+AZ7</f>
        <v>-1037.63896566026</v>
      </c>
      <c r="BB7" s="31" t="n">
        <f aca="false">IF(AZ7&gt;=Assumptions!$C$74/12,BB6+1,0)</f>
        <v>0</v>
      </c>
      <c r="BC7" s="31" t="n">
        <f aca="false">IF(OR(BC6=1,BB7&gt;=3),1,0)</f>
        <v>0</v>
      </c>
      <c r="BD7" s="31" t="n">
        <f aca="false">IF(AZ7&gt;=Assumptions!$C$75/12,BD6+1,0)</f>
        <v>0</v>
      </c>
      <c r="BE7" s="33" t="n">
        <f aca="false">AP7*12/52</f>
        <v>9.24820541253327</v>
      </c>
      <c r="BF7" s="33" t="n">
        <f aca="false">AR7*12/52</f>
        <v>0</v>
      </c>
      <c r="BG7" s="31" t="n">
        <f aca="false">IF(AX7&gt;0,A7,999)</f>
        <v>999</v>
      </c>
      <c r="BH7" s="31" t="n">
        <f aca="false">IF(BB7&gt;=3,A7,999)</f>
        <v>999</v>
      </c>
      <c r="BI7" s="31" t="n">
        <f aca="false">IF(BD7&gt;=3,A7,999)</f>
        <v>999</v>
      </c>
    </row>
    <row r="8" customFormat="false" ht="15" hidden="false" customHeight="false" outlineLevel="0" collapsed="false">
      <c r="A8" s="31" t="n">
        <v>4</v>
      </c>
      <c r="B8" s="32" t="n">
        <f aca="false">DATE(2026,10+A8,1)</f>
        <v>46419</v>
      </c>
      <c r="C8" s="31" t="n">
        <f aca="false">INT((A8-1)/12)+1</f>
        <v>1</v>
      </c>
      <c r="D8" s="31" t="n">
        <f aca="false">IF(C8=1,Assumptions!$C$7,IF(C8=2,Assumptions!$C$8,Assumptions!$C$9))</f>
        <v>10</v>
      </c>
      <c r="E8" s="31" t="n">
        <f aca="false">D8*Assumptions!$C$10</f>
        <v>200</v>
      </c>
      <c r="F8" s="33" t="n">
        <f aca="false">E8*Assumptions!$C$11</f>
        <v>10</v>
      </c>
      <c r="G8" s="34" t="n">
        <f aca="false">MIN(1,Assumptions!$C$13+(1-Assumptions!$C$13)*(A8-1)/Assumptions!$C$14)</f>
        <v>0.6</v>
      </c>
      <c r="H8" s="33" t="n">
        <f aca="false">F8*Assumptions!$C$12*G8</f>
        <v>0.6</v>
      </c>
      <c r="I8" s="33" t="n">
        <f aca="false">Assumptions!$C$15*(Q7+R7+T7+U7)</f>
        <v>0.00450113812556875</v>
      </c>
      <c r="J8" s="33" t="n">
        <f aca="false">H8+I8</f>
        <v>0.604501138125569</v>
      </c>
      <c r="K8" s="33" t="n">
        <f aca="false">J8*Assumptions!$C$18</f>
        <v>0</v>
      </c>
      <c r="L8" s="33" t="n">
        <f aca="false">(J8-K8)*Assumptions!$C$17</f>
        <v>0.423150796687898</v>
      </c>
      <c r="M8" s="33" t="n">
        <f aca="false">J8-K8-L8</f>
        <v>0.181350341437671</v>
      </c>
      <c r="N8" s="33" t="n">
        <f aca="false">L8*Assumptions!$C$19</f>
        <v>0.0634726195031847</v>
      </c>
      <c r="O8" s="33" t="n">
        <f aca="false">L8-N8</f>
        <v>0.359678177184713</v>
      </c>
      <c r="P8" s="33" t="n">
        <f aca="false">0</f>
        <v>0</v>
      </c>
      <c r="Q8" s="33" t="n">
        <f aca="false">Q7*(1-Assumptions!$C$20)+O8-P8</f>
        <v>1.16372764800949</v>
      </c>
      <c r="R8" s="33" t="n">
        <f aca="false">R7*(1-Assumptions!$C$22)+P8*(1-Assumptions!$C$21)</f>
        <v>0</v>
      </c>
      <c r="S8" s="33" t="n">
        <f aca="false">Q8+R8</f>
        <v>1.16372764800949</v>
      </c>
      <c r="T8" s="33" t="n">
        <f aca="false">T7*(1-Assumptions!$C$24)+M8*Assumptions!$C$23</f>
        <v>0.111252910817634</v>
      </c>
      <c r="U8" s="33" t="n">
        <f aca="false">U7*(1-Assumptions!$C$25)+K8</f>
        <v>0</v>
      </c>
      <c r="V8" s="33" t="n">
        <f aca="false">V7+M8</f>
        <v>0.602586828512671</v>
      </c>
      <c r="W8" s="33" t="n">
        <f aca="false">N8+Q7*Assumptions!$C$20+P8*Assumptions!$C$21+R7*Assumptions!$C$22+T7*Assumptions!$C$24+U7*Assumptions!$C$25</f>
        <v>0.0846679312620597</v>
      </c>
      <c r="X8" s="33" t="n">
        <f aca="false">IF(A8&lt;Assumptions!$C$34,0,Assumptions!$C$36*MIN(1,(A8-Assumptions!$C$34+1)/Assumptions!$C$35))*(S8+T8)</f>
        <v>0</v>
      </c>
      <c r="Y8" s="31" t="n">
        <f aca="false">IF(Y7&gt;0,Y7,IF(AND(A8&gt;=Assumptions!$C$41,Q7+R7+T7&gt;=Assumptions!$C$40),A8,0))</f>
        <v>0</v>
      </c>
      <c r="Z8" s="33" t="n">
        <f aca="false">IF(Y8&gt;0,Assumptions!$C$42*MIN(1,(A8-Y8+1)/Assumptions!$C$43),0)*(S8+T8)</f>
        <v>0</v>
      </c>
      <c r="AA8" s="35" t="n">
        <f aca="false">(1+Assumptions!$C$32)^(C8-1)</f>
        <v>1</v>
      </c>
      <c r="AB8" s="36" t="n">
        <f aca="false">O8*Assumptions!$C$27*AA8</f>
        <v>35.6081395412866</v>
      </c>
      <c r="AC8" s="36" t="n">
        <f aca="false">(Q7+R7)*Assumptions!$C$28*AA8</f>
        <v>81.2254057261763</v>
      </c>
      <c r="AD8" s="36" t="n">
        <f aca="false">M8*Assumptions!$C$29*AA8</f>
        <v>90.4938203773977</v>
      </c>
      <c r="AE8" s="36" t="n">
        <f aca="false">T7*Assumptions!$C$30*AA8</f>
        <v>6.301749531785</v>
      </c>
      <c r="AF8" s="36" t="n">
        <f aca="false">U7*Assumptions!$C$31*AA8</f>
        <v>0</v>
      </c>
      <c r="AG8" s="36" t="n">
        <f aca="false">X8*Assumptions!$C$37*Assumptions!$C$38</f>
        <v>0</v>
      </c>
      <c r="AH8" s="36" t="n">
        <f aca="false">Z8*Assumptions!$C$44*Assumptions!$C$45</f>
        <v>0</v>
      </c>
      <c r="AI8" s="36" t="n">
        <f aca="false">SUM(AB8:AH8)</f>
        <v>213.629115176646</v>
      </c>
      <c r="AJ8" s="36" t="n">
        <f aca="false">(S8*Assumptions!$C$28+T8*Assumptions!$C$30+U8*Assumptions!$C$31)*AA8+AG8+AH8</f>
        <v>123.998017107532</v>
      </c>
      <c r="AK8" s="36" t="n">
        <f aca="false">(AI8-AH8)*Assumptions!$C$49</f>
        <v>8.54516460706582</v>
      </c>
      <c r="AL8" s="36" t="n">
        <f aca="false">(AC8+AE8+AF8)*Assumptions!$C$50</f>
        <v>0.612690086805729</v>
      </c>
      <c r="AM8" s="36" t="n">
        <f aca="false">S8*Assumptions!$C$51+M8*Assumptions!$C$52</f>
        <v>4.17491468157692</v>
      </c>
      <c r="AN8" s="36" t="n">
        <f aca="false">Assumptions!$C$53+Assumptions!$C$54*(S8+T8+U8)</f>
        <v>205.099922235309</v>
      </c>
      <c r="AO8" s="36" t="n">
        <f aca="false">IF(C8&gt;=2,Assumptions!$C$55,0)</f>
        <v>0</v>
      </c>
      <c r="AP8" s="33" t="n">
        <f aca="false">E8*Assumptions!$C$60/60+F8*Assumptions!$C$61+J8*Assumptions!$C$62+(S8+T8)*Assumptions!$C$63+X8*Assumptions!$C$64+Z8*Assumptions!$C$65+U8*Assumptions!$C$66+Assumptions!$C$67*52/12</f>
        <v>41.0301311986976</v>
      </c>
      <c r="AQ8" s="33" t="n">
        <f aca="false">IF(BC7=1,Assumptions!$C$69,Assumptions!$C$68)*52/12</f>
        <v>78</v>
      </c>
      <c r="AR8" s="33" t="n">
        <f aca="false">MAX(0,AP8-AQ8)</f>
        <v>0</v>
      </c>
      <c r="AS8" s="36" t="n">
        <f aca="false">AR8*Assumptions!$C$70*Assumptions!$C$71</f>
        <v>0</v>
      </c>
      <c r="AT8" s="36" t="n">
        <f aca="false">Assumptions!$C$56/12</f>
        <v>100</v>
      </c>
      <c r="AU8" s="36" t="n">
        <f aca="false">IF(A8=1,Assumptions!$C$57,0)+Assumptions!$C$58</f>
        <v>60</v>
      </c>
      <c r="AV8" s="36" t="n">
        <f aca="false">IF(AND(Y8&gt;0,Y8=A8),Assumptions!$C$46,0)+IF(Y8&gt;0,Assumptions!$C$47,0)</f>
        <v>0</v>
      </c>
      <c r="AW8" s="36" t="n">
        <f aca="false">AK8+AL8+AM8+AN8+AO8+AS8+AT8+AU8+AV8</f>
        <v>378.432691610757</v>
      </c>
      <c r="AX8" s="36" t="n">
        <f aca="false">AI8-AW8</f>
        <v>-164.803576434111</v>
      </c>
      <c r="AY8" s="36" t="n">
        <f aca="false">MAX(0,AX8)*Assumptions!$C$73</f>
        <v>0</v>
      </c>
      <c r="AZ8" s="36" t="n">
        <f aca="false">AX8-AY8</f>
        <v>-164.803576434111</v>
      </c>
      <c r="BA8" s="36" t="n">
        <f aca="false">BA7+AZ8</f>
        <v>-1202.44254209437</v>
      </c>
      <c r="BB8" s="31" t="n">
        <f aca="false">IF(AZ8&gt;=Assumptions!$C$74/12,BB7+1,0)</f>
        <v>0</v>
      </c>
      <c r="BC8" s="31" t="n">
        <f aca="false">IF(OR(BC7=1,BB8&gt;=3),1,0)</f>
        <v>0</v>
      </c>
      <c r="BD8" s="31" t="n">
        <f aca="false">IF(AZ8&gt;=Assumptions!$C$75/12,BD7+1,0)</f>
        <v>0</v>
      </c>
      <c r="BE8" s="33" t="n">
        <f aca="false">AP8*12/52</f>
        <v>9.46849181508407</v>
      </c>
      <c r="BF8" s="33" t="n">
        <f aca="false">AR8*12/52</f>
        <v>0</v>
      </c>
      <c r="BG8" s="31" t="n">
        <f aca="false">IF(AX8&gt;0,A8,999)</f>
        <v>999</v>
      </c>
      <c r="BH8" s="31" t="n">
        <f aca="false">IF(BB8&gt;=3,A8,999)</f>
        <v>999</v>
      </c>
      <c r="BI8" s="31" t="n">
        <f aca="false">IF(BD8&gt;=3,A8,999)</f>
        <v>999</v>
      </c>
    </row>
    <row r="9" customFormat="false" ht="15" hidden="false" customHeight="false" outlineLevel="0" collapsed="false">
      <c r="A9" s="31" t="n">
        <v>5</v>
      </c>
      <c r="B9" s="32" t="n">
        <f aca="false">DATE(2026,10+A9,1)</f>
        <v>46447</v>
      </c>
      <c r="C9" s="31" t="n">
        <f aca="false">INT((A9-1)/12)+1</f>
        <v>1</v>
      </c>
      <c r="D9" s="31" t="n">
        <f aca="false">IF(C9=1,Assumptions!$C$7,IF(C9=2,Assumptions!$C$8,Assumptions!$C$9))</f>
        <v>10</v>
      </c>
      <c r="E9" s="31" t="n">
        <f aca="false">D9*Assumptions!$C$10</f>
        <v>200</v>
      </c>
      <c r="F9" s="33" t="n">
        <f aca="false">E9*Assumptions!$C$11</f>
        <v>10</v>
      </c>
      <c r="G9" s="34" t="n">
        <f aca="false">MIN(1,Assumptions!$C$13+(1-Assumptions!$C$13)*(A9-1)/Assumptions!$C$14)</f>
        <v>0.666666666666667</v>
      </c>
      <c r="H9" s="33" t="n">
        <f aca="false">F9*Assumptions!$C$12*G9</f>
        <v>0.666666666666667</v>
      </c>
      <c r="I9" s="33" t="n">
        <f aca="false">Assumptions!$C$15*(Q8+R8+T8+U8)</f>
        <v>0.00637490279413561</v>
      </c>
      <c r="J9" s="33" t="n">
        <f aca="false">H9+I9</f>
        <v>0.673041569460802</v>
      </c>
      <c r="K9" s="33" t="n">
        <f aca="false">J9*Assumptions!$C$18</f>
        <v>0</v>
      </c>
      <c r="L9" s="33" t="n">
        <f aca="false">(J9-K9)*Assumptions!$C$17</f>
        <v>0.471129098622562</v>
      </c>
      <c r="M9" s="33" t="n">
        <f aca="false">J9-K9-L9</f>
        <v>0.201912470838241</v>
      </c>
      <c r="N9" s="33" t="n">
        <f aca="false">L9*Assumptions!$C$19</f>
        <v>0.0706693647933843</v>
      </c>
      <c r="O9" s="33" t="n">
        <f aca="false">L9-N9</f>
        <v>0.400459733829177</v>
      </c>
      <c r="P9" s="33" t="n">
        <f aca="false">0</f>
        <v>0</v>
      </c>
      <c r="Q9" s="33" t="n">
        <f aca="false">Q8*(1-Assumptions!$C$20)+O9-P9</f>
        <v>1.54091282887848</v>
      </c>
      <c r="R9" s="33" t="n">
        <f aca="false">R8*(1-Assumptions!$C$22)+P9*(1-Assumptions!$C$21)</f>
        <v>0</v>
      </c>
      <c r="S9" s="33" t="n">
        <f aca="false">Q9+R9</f>
        <v>1.54091282887848</v>
      </c>
      <c r="T9" s="33" t="n">
        <f aca="false">T8*(1-Assumptions!$C$24)+M9*Assumptions!$C$23</f>
        <v>0.144960230336224</v>
      </c>
      <c r="U9" s="33" t="n">
        <f aca="false">U8*(1-Assumptions!$C$25)+K9</f>
        <v>0</v>
      </c>
      <c r="V9" s="33" t="n">
        <f aca="false">V8+M9</f>
        <v>0.804499299350912</v>
      </c>
      <c r="W9" s="33" t="n">
        <f aca="false">N9+Q8*Assumptions!$C$20+P9*Assumptions!$C$21+R8*Assumptions!$C$22+T8*Assumptions!$C$24+U8*Assumptions!$C$25</f>
        <v>0.100619092402632</v>
      </c>
      <c r="X9" s="33" t="n">
        <f aca="false">IF(A9&lt;Assumptions!$C$34,0,Assumptions!$C$36*MIN(1,(A9-Assumptions!$C$34+1)/Assumptions!$C$35))*(S9+T9)</f>
        <v>0</v>
      </c>
      <c r="Y9" s="31" t="n">
        <f aca="false">IF(Y8&gt;0,Y8,IF(AND(A9&gt;=Assumptions!$C$41,Q8+R8+T8&gt;=Assumptions!$C$40),A9,0))</f>
        <v>0</v>
      </c>
      <c r="Z9" s="33" t="n">
        <f aca="false">IF(Y9&gt;0,Assumptions!$C$42*MIN(1,(A9-Y9+1)/Assumptions!$C$43),0)*(S9+T9)</f>
        <v>0</v>
      </c>
      <c r="AA9" s="35" t="n">
        <f aca="false">(1+Assumptions!$C$32)^(C9-1)</f>
        <v>1</v>
      </c>
      <c r="AB9" s="36" t="n">
        <f aca="false">O9*Assumptions!$C$27*AA9</f>
        <v>39.6455136490886</v>
      </c>
      <c r="AC9" s="36" t="n">
        <f aca="false">(Q8+R8)*Assumptions!$C$28*AA9</f>
        <v>115.209037152939</v>
      </c>
      <c r="AD9" s="36" t="n">
        <f aca="false">M9*Assumptions!$C$29*AA9</f>
        <v>100.754322948282</v>
      </c>
      <c r="AE9" s="36" t="n">
        <f aca="false">T8*Assumptions!$C$30*AA9</f>
        <v>8.7889799545931</v>
      </c>
      <c r="AF9" s="36" t="n">
        <f aca="false">U8*Assumptions!$C$31*AA9</f>
        <v>0</v>
      </c>
      <c r="AG9" s="36" t="n">
        <f aca="false">X9*Assumptions!$C$37*Assumptions!$C$38</f>
        <v>0</v>
      </c>
      <c r="AH9" s="36" t="n">
        <f aca="false">Z9*Assumptions!$C$44*Assumptions!$C$45</f>
        <v>0</v>
      </c>
      <c r="AI9" s="36" t="n">
        <f aca="false">SUM(AB9:AH9)</f>
        <v>264.397853704903</v>
      </c>
      <c r="AJ9" s="36" t="n">
        <f aca="false">(S9*Assumptions!$C$28+T9*Assumptions!$C$30+U9*Assumptions!$C$31)*AA9+AG9+AH9</f>
        <v>164.002228255531</v>
      </c>
      <c r="AK9" s="36" t="n">
        <f aca="false">(AI9-AH9)*Assumptions!$C$49</f>
        <v>10.5759141481961</v>
      </c>
      <c r="AL9" s="36" t="n">
        <f aca="false">(AC9+AE9+AF9)*Assumptions!$C$50</f>
        <v>0.867986119752727</v>
      </c>
      <c r="AM9" s="36" t="n">
        <f aca="false">S9*Assumptions!$C$51+M9*Assumptions!$C$52</f>
        <v>4.95482809867171</v>
      </c>
      <c r="AN9" s="36" t="n">
        <f aca="false">Assumptions!$C$53+Assumptions!$C$54*(S9+T9+U9)</f>
        <v>206.743492236859</v>
      </c>
      <c r="AO9" s="36" t="n">
        <f aca="false">IF(C9&gt;=2,Assumptions!$C$55,0)</f>
        <v>0</v>
      </c>
      <c r="AP9" s="33" t="n">
        <f aca="false">E9*Assumptions!$C$60/60+F9*Assumptions!$C$61+J9*Assumptions!$C$62+(S9+T9)*Assumptions!$C$63+X9*Assumptions!$C$64+Z9*Assumptions!$C$65+U9*Assumptions!$C$66+Assumptions!$C$67*52/12</f>
        <v>42.0575374934785</v>
      </c>
      <c r="AQ9" s="33" t="n">
        <f aca="false">IF(BC8=1,Assumptions!$C$69,Assumptions!$C$68)*52/12</f>
        <v>78</v>
      </c>
      <c r="AR9" s="33" t="n">
        <f aca="false">MAX(0,AP9-AQ9)</f>
        <v>0</v>
      </c>
      <c r="AS9" s="36" t="n">
        <f aca="false">AR9*Assumptions!$C$70*Assumptions!$C$71</f>
        <v>0</v>
      </c>
      <c r="AT9" s="36" t="n">
        <f aca="false">Assumptions!$C$56/12</f>
        <v>100</v>
      </c>
      <c r="AU9" s="36" t="n">
        <f aca="false">IF(A9=1,Assumptions!$C$57,0)+Assumptions!$C$58</f>
        <v>60</v>
      </c>
      <c r="AV9" s="36" t="n">
        <f aca="false">IF(AND(Y9&gt;0,Y9=A9),Assumptions!$C$46,0)+IF(Y9&gt;0,Assumptions!$C$47,0)</f>
        <v>0</v>
      </c>
      <c r="AW9" s="36" t="n">
        <f aca="false">AK9+AL9+AM9+AN9+AO9+AS9+AT9+AU9+AV9</f>
        <v>383.142220603479</v>
      </c>
      <c r="AX9" s="36" t="n">
        <f aca="false">AI9-AW9</f>
        <v>-118.744366898576</v>
      </c>
      <c r="AY9" s="36" t="n">
        <f aca="false">MAX(0,AX9)*Assumptions!$C$73</f>
        <v>0</v>
      </c>
      <c r="AZ9" s="36" t="n">
        <f aca="false">AX9-AY9</f>
        <v>-118.744366898576</v>
      </c>
      <c r="BA9" s="36" t="n">
        <f aca="false">BA8+AZ9</f>
        <v>-1321.18690899294</v>
      </c>
      <c r="BB9" s="31" t="n">
        <f aca="false">IF(AZ9&gt;=Assumptions!$C$74/12,BB8+1,0)</f>
        <v>0</v>
      </c>
      <c r="BC9" s="31" t="n">
        <f aca="false">IF(OR(BC8=1,BB9&gt;=3),1,0)</f>
        <v>0</v>
      </c>
      <c r="BD9" s="31" t="n">
        <f aca="false">IF(AZ9&gt;=Assumptions!$C$75/12,BD8+1,0)</f>
        <v>0</v>
      </c>
      <c r="BE9" s="33" t="n">
        <f aca="false">AP9*12/52</f>
        <v>9.70558557541811</v>
      </c>
      <c r="BF9" s="33" t="n">
        <f aca="false">AR9*12/52</f>
        <v>0</v>
      </c>
      <c r="BG9" s="31" t="n">
        <f aca="false">IF(AX9&gt;0,A9,999)</f>
        <v>999</v>
      </c>
      <c r="BH9" s="31" t="n">
        <f aca="false">IF(BB9&gt;=3,A9,999)</f>
        <v>999</v>
      </c>
      <c r="BI9" s="31" t="n">
        <f aca="false">IF(BD9&gt;=3,A9,999)</f>
        <v>999</v>
      </c>
    </row>
    <row r="10" customFormat="false" ht="15" hidden="false" customHeight="false" outlineLevel="0" collapsed="false">
      <c r="A10" s="31" t="n">
        <v>6</v>
      </c>
      <c r="B10" s="32" t="n">
        <f aca="false">DATE(2026,10+A10,1)</f>
        <v>46478</v>
      </c>
      <c r="C10" s="31" t="n">
        <f aca="false">INT((A10-1)/12)+1</f>
        <v>1</v>
      </c>
      <c r="D10" s="31" t="n">
        <f aca="false">IF(C10=1,Assumptions!$C$7,IF(C10=2,Assumptions!$C$8,Assumptions!$C$9))</f>
        <v>10</v>
      </c>
      <c r="E10" s="31" t="n">
        <f aca="false">D10*Assumptions!$C$10</f>
        <v>200</v>
      </c>
      <c r="F10" s="33" t="n">
        <f aca="false">E10*Assumptions!$C$11</f>
        <v>10</v>
      </c>
      <c r="G10" s="34" t="n">
        <f aca="false">MIN(1,Assumptions!$C$13+(1-Assumptions!$C$13)*(A10-1)/Assumptions!$C$14)</f>
        <v>0.733333333333333</v>
      </c>
      <c r="H10" s="33" t="n">
        <f aca="false">F10*Assumptions!$C$12*G10</f>
        <v>0.733333333333333</v>
      </c>
      <c r="I10" s="33" t="n">
        <f aca="false">Assumptions!$C$15*(Q9+R9+T9+U9)</f>
        <v>0.0084293652960735</v>
      </c>
      <c r="J10" s="33" t="n">
        <f aca="false">H10+I10</f>
        <v>0.741762698629407</v>
      </c>
      <c r="K10" s="33" t="n">
        <f aca="false">J10*Assumptions!$C$18</f>
        <v>0</v>
      </c>
      <c r="L10" s="33" t="n">
        <f aca="false">(J10-K10)*Assumptions!$C$17</f>
        <v>0.519233889040585</v>
      </c>
      <c r="M10" s="33" t="n">
        <f aca="false">J10-K10-L10</f>
        <v>0.222528809588822</v>
      </c>
      <c r="N10" s="33" t="n">
        <f aca="false">L10*Assumptions!$C$19</f>
        <v>0.0778850833560877</v>
      </c>
      <c r="O10" s="33" t="n">
        <f aca="false">L10-N10</f>
        <v>0.441348805684497</v>
      </c>
      <c r="P10" s="33" t="n">
        <f aca="false">0</f>
        <v>0</v>
      </c>
      <c r="Q10" s="33" t="n">
        <f aca="false">Q9*(1-Assumptions!$C$20)+O10-P10</f>
        <v>1.9514433779854</v>
      </c>
      <c r="R10" s="33" t="n">
        <f aca="false">R9*(1-Assumptions!$C$22)+P10*(1-Assumptions!$C$21)</f>
        <v>0</v>
      </c>
      <c r="S10" s="33" t="n">
        <f aca="false">Q10+R10</f>
        <v>1.9514433779854</v>
      </c>
      <c r="T10" s="33" t="n">
        <f aca="false">T9*(1-Assumptions!$C$24)+M10*Assumptions!$C$23</f>
        <v>0.180768378433815</v>
      </c>
      <c r="U10" s="33" t="n">
        <f aca="false">U9*(1-Assumptions!$C$25)+K10</f>
        <v>0</v>
      </c>
      <c r="V10" s="33" t="n">
        <f aca="false">V9+M10</f>
        <v>1.02702810893973</v>
      </c>
      <c r="W10" s="33" t="n">
        <f aca="false">N10+Q9*Assumptions!$C$20+P10*Assumptions!$C$21+R9*Assumptions!$C$22+T9*Assumptions!$C$24+U9*Assumptions!$C$25</f>
        <v>0.117400953753831</v>
      </c>
      <c r="X10" s="33" t="n">
        <f aca="false">IF(A10&lt;Assumptions!$C$34,0,Assumptions!$C$36*MIN(1,(A10-Assumptions!$C$34+1)/Assumptions!$C$35))*(S10+T10)</f>
        <v>0.0236912417379913</v>
      </c>
      <c r="Y10" s="31" t="n">
        <f aca="false">IF(Y9&gt;0,Y9,IF(AND(A10&gt;=Assumptions!$C$41,Q9+R9+T9&gt;=Assumptions!$C$40),A10,0))</f>
        <v>0</v>
      </c>
      <c r="Z10" s="33" t="n">
        <f aca="false">IF(Y10&gt;0,Assumptions!$C$42*MIN(1,(A10-Y10+1)/Assumptions!$C$43),0)*(S10+T10)</f>
        <v>0</v>
      </c>
      <c r="AA10" s="35" t="n">
        <f aca="false">(1+Assumptions!$C$32)^(C10-1)</f>
        <v>1</v>
      </c>
      <c r="AB10" s="36" t="n">
        <f aca="false">O10*Assumptions!$C$27*AA10</f>
        <v>43.6935317627652</v>
      </c>
      <c r="AC10" s="36" t="n">
        <f aca="false">(Q9+R9)*Assumptions!$C$28*AA10</f>
        <v>152.550370058969</v>
      </c>
      <c r="AD10" s="36" t="n">
        <f aca="false">M10*Assumptions!$C$29*AA10</f>
        <v>111.041875984822</v>
      </c>
      <c r="AE10" s="36" t="n">
        <f aca="false">T9*Assumptions!$C$30*AA10</f>
        <v>11.4518581965617</v>
      </c>
      <c r="AF10" s="36" t="n">
        <f aca="false">U9*Assumptions!$C$31*AA10</f>
        <v>0</v>
      </c>
      <c r="AG10" s="36" t="n">
        <f aca="false">X10*Assumptions!$C$37*Assumptions!$C$38</f>
        <v>1.18456208689957</v>
      </c>
      <c r="AH10" s="36" t="n">
        <f aca="false">Z10*Assumptions!$C$44*Assumptions!$C$45</f>
        <v>0</v>
      </c>
      <c r="AI10" s="36" t="n">
        <f aca="false">SUM(AB10:AH10)</f>
        <v>319.922198090018</v>
      </c>
      <c r="AJ10" s="36" t="n">
        <f aca="false">(S10*Assumptions!$C$28+T10*Assumptions!$C$30+U10*Assumptions!$C$31)*AA10+AG10+AH10</f>
        <v>208.658158403726</v>
      </c>
      <c r="AK10" s="36" t="n">
        <f aca="false">(AI10-AH10)*Assumptions!$C$49</f>
        <v>12.7968879236007</v>
      </c>
      <c r="AL10" s="36" t="n">
        <f aca="false">(AC10+AE10+AF10)*Assumptions!$C$50</f>
        <v>1.14801559778872</v>
      </c>
      <c r="AM10" s="36" t="n">
        <f aca="false">S10*Assumptions!$C$51+M10*Assumptions!$C$52</f>
        <v>5.77723636631409</v>
      </c>
      <c r="AN10" s="36" t="n">
        <f aca="false">Assumptions!$C$53+Assumptions!$C$54*(S10+T10+U10)</f>
        <v>208.528847025677</v>
      </c>
      <c r="AO10" s="36" t="n">
        <f aca="false">IF(C10&gt;=2,Assumptions!$C$55,0)</f>
        <v>0</v>
      </c>
      <c r="AP10" s="33" t="n">
        <f aca="false">E10*Assumptions!$C$60/60+F10*Assumptions!$C$61+J10*Assumptions!$C$62+(S10+T10)*Assumptions!$C$63+X10*Assumptions!$C$64+Z10*Assumptions!$C$65+U10*Assumptions!$C$66+Assumptions!$C$67*52/12</f>
        <v>43.1919151380003</v>
      </c>
      <c r="AQ10" s="33" t="n">
        <f aca="false">IF(BC9=1,Assumptions!$C$69,Assumptions!$C$68)*52/12</f>
        <v>78</v>
      </c>
      <c r="AR10" s="33" t="n">
        <f aca="false">MAX(0,AP10-AQ10)</f>
        <v>0</v>
      </c>
      <c r="AS10" s="36" t="n">
        <f aca="false">AR10*Assumptions!$C$70*Assumptions!$C$71</f>
        <v>0</v>
      </c>
      <c r="AT10" s="36" t="n">
        <f aca="false">Assumptions!$C$56/12</f>
        <v>100</v>
      </c>
      <c r="AU10" s="36" t="n">
        <f aca="false">IF(A10=1,Assumptions!$C$57,0)+Assumptions!$C$58</f>
        <v>60</v>
      </c>
      <c r="AV10" s="36" t="n">
        <f aca="false">IF(AND(Y10&gt;0,Y10=A10),Assumptions!$C$46,0)+IF(Y10&gt;0,Assumptions!$C$47,0)</f>
        <v>0</v>
      </c>
      <c r="AW10" s="36" t="n">
        <f aca="false">AK10+AL10+AM10+AN10+AO10+AS10+AT10+AU10+AV10</f>
        <v>388.25098691338</v>
      </c>
      <c r="AX10" s="36" t="n">
        <f aca="false">AI10-AW10</f>
        <v>-68.3287888233626</v>
      </c>
      <c r="AY10" s="36" t="n">
        <f aca="false">MAX(0,AX10)*Assumptions!$C$73</f>
        <v>0</v>
      </c>
      <c r="AZ10" s="36" t="n">
        <f aca="false">AX10-AY10</f>
        <v>-68.3287888233626</v>
      </c>
      <c r="BA10" s="36" t="n">
        <f aca="false">BA9+AZ10</f>
        <v>-1389.51569781631</v>
      </c>
      <c r="BB10" s="31" t="n">
        <f aca="false">IF(AZ10&gt;=Assumptions!$C$74/12,BB9+1,0)</f>
        <v>0</v>
      </c>
      <c r="BC10" s="31" t="n">
        <f aca="false">IF(OR(BC9=1,BB10&gt;=3),1,0)</f>
        <v>0</v>
      </c>
      <c r="BD10" s="31" t="n">
        <f aca="false">IF(AZ10&gt;=Assumptions!$C$75/12,BD9+1,0)</f>
        <v>0</v>
      </c>
      <c r="BE10" s="33" t="n">
        <f aca="false">AP10*12/52</f>
        <v>9.96736503184623</v>
      </c>
      <c r="BF10" s="33" t="n">
        <f aca="false">AR10*12/52</f>
        <v>0</v>
      </c>
      <c r="BG10" s="31" t="n">
        <f aca="false">IF(AX10&gt;0,A10,999)</f>
        <v>999</v>
      </c>
      <c r="BH10" s="31" t="n">
        <f aca="false">IF(BB10&gt;=3,A10,999)</f>
        <v>999</v>
      </c>
      <c r="BI10" s="31" t="n">
        <f aca="false">IF(BD10&gt;=3,A10,999)</f>
        <v>999</v>
      </c>
    </row>
    <row r="11" customFormat="false" ht="15" hidden="false" customHeight="false" outlineLevel="0" collapsed="false">
      <c r="A11" s="31" t="n">
        <v>7</v>
      </c>
      <c r="B11" s="32" t="n">
        <f aca="false">DATE(2026,10+A11,1)</f>
        <v>46508</v>
      </c>
      <c r="C11" s="31" t="n">
        <f aca="false">INT((A11-1)/12)+1</f>
        <v>1</v>
      </c>
      <c r="D11" s="31" t="n">
        <f aca="false">IF(C11=1,Assumptions!$C$7,IF(C11=2,Assumptions!$C$8,Assumptions!$C$9))</f>
        <v>10</v>
      </c>
      <c r="E11" s="31" t="n">
        <f aca="false">D11*Assumptions!$C$10</f>
        <v>200</v>
      </c>
      <c r="F11" s="33" t="n">
        <f aca="false">E11*Assumptions!$C$11</f>
        <v>10</v>
      </c>
      <c r="G11" s="34" t="n">
        <f aca="false">MIN(1,Assumptions!$C$13+(1-Assumptions!$C$13)*(A11-1)/Assumptions!$C$14)</f>
        <v>0.8</v>
      </c>
      <c r="H11" s="33" t="n">
        <f aca="false">F11*Assumptions!$C$12*G11</f>
        <v>0.8</v>
      </c>
      <c r="I11" s="33" t="n">
        <f aca="false">Assumptions!$C$15*(Q10+R10+T10+U10)</f>
        <v>0.0106610587820961</v>
      </c>
      <c r="J11" s="33" t="n">
        <f aca="false">H11+I11</f>
        <v>0.810661058782096</v>
      </c>
      <c r="K11" s="33" t="n">
        <f aca="false">J11*Assumptions!$C$18</f>
        <v>0</v>
      </c>
      <c r="L11" s="33" t="n">
        <f aca="false">(J11-K11)*Assumptions!$C$17</f>
        <v>0.567462741147467</v>
      </c>
      <c r="M11" s="33" t="n">
        <f aca="false">J11-K11-L11</f>
        <v>0.243198317634629</v>
      </c>
      <c r="N11" s="33" t="n">
        <f aca="false">L11*Assumptions!$C$19</f>
        <v>0.0851194111721201</v>
      </c>
      <c r="O11" s="33" t="n">
        <f aca="false">L11-N11</f>
        <v>0.482343329975347</v>
      </c>
      <c r="P11" s="33" t="n">
        <f aca="false">0</f>
        <v>0</v>
      </c>
      <c r="Q11" s="33" t="n">
        <f aca="false">Q10*(1-Assumptions!$C$20)+O11-P11</f>
        <v>2.39475784040104</v>
      </c>
      <c r="R11" s="33" t="n">
        <f aca="false">R10*(1-Assumptions!$C$22)+P11*(1-Assumptions!$C$21)</f>
        <v>0</v>
      </c>
      <c r="S11" s="33" t="n">
        <f aca="false">Q11+R11</f>
        <v>2.39475784040104</v>
      </c>
      <c r="T11" s="33" t="n">
        <f aca="false">T10*(1-Assumptions!$C$24)+M11*Assumptions!$C$23</f>
        <v>0.218561939254712</v>
      </c>
      <c r="U11" s="33" t="n">
        <f aca="false">U10*(1-Assumptions!$C$25)+K11</f>
        <v>0</v>
      </c>
      <c r="V11" s="33" t="n">
        <f aca="false">V10+M11</f>
        <v>1.27022642657436</v>
      </c>
      <c r="W11" s="33" t="n">
        <f aca="false">N11+Q10*Assumptions!$C$20+P11*Assumptions!$C$21+R10*Assumptions!$C$22+T10*Assumptions!$C$24+U10*Assumptions!$C$25</f>
        <v>0.134994381437857</v>
      </c>
      <c r="X11" s="33" t="n">
        <f aca="false">IF(A11&lt;Assumptions!$C$34,0,Assumptions!$C$36*MIN(1,(A11-Assumptions!$C$34+1)/Assumptions!$C$35))*(S11+T11)</f>
        <v>0.058073772881239</v>
      </c>
      <c r="Y11" s="31" t="n">
        <f aca="false">IF(Y10&gt;0,Y10,IF(AND(A11&gt;=Assumptions!$C$41,Q10+R10+T10&gt;=Assumptions!$C$40),A11,0))</f>
        <v>0</v>
      </c>
      <c r="Z11" s="33" t="n">
        <f aca="false">IF(Y11&gt;0,Assumptions!$C$42*MIN(1,(A11-Y11+1)/Assumptions!$C$43),0)*(S11+T11)</f>
        <v>0</v>
      </c>
      <c r="AA11" s="35" t="n">
        <f aca="false">(1+Assumptions!$C$32)^(C11-1)</f>
        <v>1</v>
      </c>
      <c r="AB11" s="36" t="n">
        <f aca="false">O11*Assumptions!$C$27*AA11</f>
        <v>47.7519896675594</v>
      </c>
      <c r="AC11" s="36" t="n">
        <f aca="false">(Q10+R10)*Assumptions!$C$28*AA11</f>
        <v>193.192894420555</v>
      </c>
      <c r="AD11" s="36" t="n">
        <f aca="false">M11*Assumptions!$C$29*AA11</f>
        <v>121.35596049968</v>
      </c>
      <c r="AE11" s="36" t="n">
        <f aca="false">T10*Assumptions!$C$30*AA11</f>
        <v>14.2807018962714</v>
      </c>
      <c r="AF11" s="36" t="n">
        <f aca="false">U10*Assumptions!$C$31*AA11</f>
        <v>0</v>
      </c>
      <c r="AG11" s="36" t="n">
        <f aca="false">X11*Assumptions!$C$37*Assumptions!$C$38</f>
        <v>2.90368864406195</v>
      </c>
      <c r="AH11" s="36" t="n">
        <f aca="false">Z11*Assumptions!$C$44*Assumptions!$C$45</f>
        <v>0</v>
      </c>
      <c r="AI11" s="36" t="n">
        <f aca="false">SUM(AB11:AH11)</f>
        <v>379.485235128127</v>
      </c>
      <c r="AJ11" s="36" t="n">
        <f aca="false">(S11*Assumptions!$C$28+T11*Assumptions!$C$30+U11*Assumptions!$C$31)*AA11+AG11+AH11</f>
        <v>257.251108044887</v>
      </c>
      <c r="AK11" s="36" t="n">
        <f aca="false">(AI11-AH11)*Assumptions!$C$49</f>
        <v>15.1794094051251</v>
      </c>
      <c r="AL11" s="36" t="n">
        <f aca="false">(AC11+AE11+AF11)*Assumptions!$C$50</f>
        <v>1.45231517421778</v>
      </c>
      <c r="AM11" s="36" t="n">
        <f aca="false">S11*Assumptions!$C$51+M11*Assumptions!$C$52</f>
        <v>6.64142206502074</v>
      </c>
      <c r="AN11" s="36" t="n">
        <f aca="false">Assumptions!$C$53+Assumptions!$C$54*(S11+T11+U11)</f>
        <v>210.453279118623</v>
      </c>
      <c r="AO11" s="36" t="n">
        <f aca="false">IF(C11&gt;=2,Assumptions!$C$55,0)</f>
        <v>0</v>
      </c>
      <c r="AP11" s="33" t="n">
        <f aca="false">E11*Assumptions!$C$60/60+F11*Assumptions!$C$61+J11*Assumptions!$C$62+(S11+T11)*Assumptions!$C$63+X11*Assumptions!$C$64+Z11*Assumptions!$C$65+U11*Assumptions!$C$66+Assumptions!$C$67*52/12</f>
        <v>44.4124000616463</v>
      </c>
      <c r="AQ11" s="33" t="n">
        <f aca="false">IF(BC10=1,Assumptions!$C$69,Assumptions!$C$68)*52/12</f>
        <v>78</v>
      </c>
      <c r="AR11" s="33" t="n">
        <f aca="false">MAX(0,AP11-AQ11)</f>
        <v>0</v>
      </c>
      <c r="AS11" s="36" t="n">
        <f aca="false">AR11*Assumptions!$C$70*Assumptions!$C$71</f>
        <v>0</v>
      </c>
      <c r="AT11" s="36" t="n">
        <f aca="false">Assumptions!$C$56/12</f>
        <v>100</v>
      </c>
      <c r="AU11" s="36" t="n">
        <f aca="false">IF(A11=1,Assumptions!$C$57,0)+Assumptions!$C$58</f>
        <v>60</v>
      </c>
      <c r="AV11" s="36" t="n">
        <f aca="false">IF(AND(Y11&gt;0,Y11=A11),Assumptions!$C$46,0)+IF(Y11&gt;0,Assumptions!$C$47,0)</f>
        <v>0</v>
      </c>
      <c r="AW11" s="36" t="n">
        <f aca="false">AK11+AL11+AM11+AN11+AO11+AS11+AT11+AU11+AV11</f>
        <v>393.726425762987</v>
      </c>
      <c r="AX11" s="36" t="n">
        <f aca="false">AI11-AW11</f>
        <v>-14.2411906348592</v>
      </c>
      <c r="AY11" s="36" t="n">
        <f aca="false">MAX(0,AX11)*Assumptions!$C$73</f>
        <v>0</v>
      </c>
      <c r="AZ11" s="36" t="n">
        <f aca="false">AX11-AY11</f>
        <v>-14.2411906348592</v>
      </c>
      <c r="BA11" s="36" t="n">
        <f aca="false">BA10+AZ11</f>
        <v>-1403.75688845117</v>
      </c>
      <c r="BB11" s="31" t="n">
        <f aca="false">IF(AZ11&gt;=Assumptions!$C$74/12,BB10+1,0)</f>
        <v>0</v>
      </c>
      <c r="BC11" s="31" t="n">
        <f aca="false">IF(OR(BC10=1,BB11&gt;=3),1,0)</f>
        <v>0</v>
      </c>
      <c r="BD11" s="31" t="n">
        <f aca="false">IF(AZ11&gt;=Assumptions!$C$75/12,BD10+1,0)</f>
        <v>0</v>
      </c>
      <c r="BE11" s="33" t="n">
        <f aca="false">AP11*12/52</f>
        <v>10.2490153988415</v>
      </c>
      <c r="BF11" s="33" t="n">
        <f aca="false">AR11*12/52</f>
        <v>0</v>
      </c>
      <c r="BG11" s="31" t="n">
        <f aca="false">IF(AX11&gt;0,A11,999)</f>
        <v>999</v>
      </c>
      <c r="BH11" s="31" t="n">
        <f aca="false">IF(BB11&gt;=3,A11,999)</f>
        <v>999</v>
      </c>
      <c r="BI11" s="31" t="n">
        <f aca="false">IF(BD11&gt;=3,A11,999)</f>
        <v>999</v>
      </c>
    </row>
    <row r="12" customFormat="false" ht="15" hidden="false" customHeight="false" outlineLevel="0" collapsed="false">
      <c r="A12" s="31" t="n">
        <v>8</v>
      </c>
      <c r="B12" s="32" t="n">
        <f aca="false">DATE(2026,10+A12,1)</f>
        <v>46539</v>
      </c>
      <c r="C12" s="31" t="n">
        <f aca="false">INT((A12-1)/12)+1</f>
        <v>1</v>
      </c>
      <c r="D12" s="31" t="n">
        <f aca="false">IF(C12=1,Assumptions!$C$7,IF(C12=2,Assumptions!$C$8,Assumptions!$C$9))</f>
        <v>10</v>
      </c>
      <c r="E12" s="31" t="n">
        <f aca="false">D12*Assumptions!$C$10</f>
        <v>200</v>
      </c>
      <c r="F12" s="33" t="n">
        <f aca="false">E12*Assumptions!$C$11</f>
        <v>10</v>
      </c>
      <c r="G12" s="34" t="n">
        <f aca="false">MIN(1,Assumptions!$C$13+(1-Assumptions!$C$13)*(A12-1)/Assumptions!$C$14)</f>
        <v>0.866666666666667</v>
      </c>
      <c r="H12" s="33" t="n">
        <f aca="false">F12*Assumptions!$C$12*G12</f>
        <v>0.866666666666667</v>
      </c>
      <c r="I12" s="33" t="n">
        <f aca="false">Assumptions!$C$15*(Q11+R11+T11+U11)</f>
        <v>0.0130665988982788</v>
      </c>
      <c r="J12" s="33" t="n">
        <f aca="false">H12+I12</f>
        <v>0.879733265564946</v>
      </c>
      <c r="K12" s="33" t="n">
        <f aca="false">J12*Assumptions!$C$18</f>
        <v>0</v>
      </c>
      <c r="L12" s="33" t="n">
        <f aca="false">(J12-K12)*Assumptions!$C$17</f>
        <v>0.615813285895462</v>
      </c>
      <c r="M12" s="33" t="n">
        <f aca="false">J12-K12-L12</f>
        <v>0.263919979669484</v>
      </c>
      <c r="N12" s="33" t="n">
        <f aca="false">L12*Assumptions!$C$19</f>
        <v>0.0923719928843193</v>
      </c>
      <c r="O12" s="33" t="n">
        <f aca="false">L12-N12</f>
        <v>0.523441293011143</v>
      </c>
      <c r="P12" s="33" t="n">
        <f aca="false">0</f>
        <v>0</v>
      </c>
      <c r="Q12" s="33" t="n">
        <f aca="false">Q11*(1-Assumptions!$C$20)+O12-P12</f>
        <v>2.87030397660416</v>
      </c>
      <c r="R12" s="33" t="n">
        <f aca="false">R11*(1-Assumptions!$C$22)+P12*(1-Assumptions!$C$21)</f>
        <v>0</v>
      </c>
      <c r="S12" s="33" t="n">
        <f aca="false">Q12+R12</f>
        <v>2.87030397660416</v>
      </c>
      <c r="T12" s="33" t="n">
        <f aca="false">T11*(1-Assumptions!$C$24)+M12*Assumptions!$C$23</f>
        <v>0.258232218833326</v>
      </c>
      <c r="U12" s="33" t="n">
        <f aca="false">U11*(1-Assumptions!$C$25)+K12</f>
        <v>0</v>
      </c>
      <c r="V12" s="33" t="n">
        <f aca="false">V11+M12</f>
        <v>1.53414640624385</v>
      </c>
      <c r="W12" s="33" t="n">
        <f aca="false">N12+Q11*Assumptions!$C$20+P12*Assumptions!$C$21+R11*Assumptions!$C$22+T11*Assumptions!$C$24+U11*Assumptions!$C$25</f>
        <v>0.153380866047623</v>
      </c>
      <c r="X12" s="33" t="n">
        <f aca="false">IF(A12&lt;Assumptions!$C$34,0,Assumptions!$C$36*MIN(1,(A12-Assumptions!$C$34+1)/Assumptions!$C$35))*(S12+T12)</f>
        <v>0.104284539847916</v>
      </c>
      <c r="Y12" s="31" t="n">
        <f aca="false">IF(Y11&gt;0,Y11,IF(AND(A12&gt;=Assumptions!$C$41,Q11+R11+T11&gt;=Assumptions!$C$40),A12,0))</f>
        <v>0</v>
      </c>
      <c r="Z12" s="33" t="n">
        <f aca="false">IF(Y12&gt;0,Assumptions!$C$42*MIN(1,(A12-Y12+1)/Assumptions!$C$43),0)*(S12+T12)</f>
        <v>0</v>
      </c>
      <c r="AA12" s="35" t="n">
        <f aca="false">(1+Assumptions!$C$32)^(C12-1)</f>
        <v>1</v>
      </c>
      <c r="AB12" s="36" t="n">
        <f aca="false">O12*Assumptions!$C$27*AA12</f>
        <v>51.8206880081031</v>
      </c>
      <c r="AC12" s="36" t="n">
        <f aca="false">(Q11+R11)*Assumptions!$C$28*AA12</f>
        <v>237.081026199703</v>
      </c>
      <c r="AD12" s="36" t="n">
        <f aca="false">M12*Assumptions!$C$29*AA12</f>
        <v>131.696069855072</v>
      </c>
      <c r="AE12" s="36" t="n">
        <f aca="false">T11*Assumptions!$C$30*AA12</f>
        <v>17.2663932011223</v>
      </c>
      <c r="AF12" s="36" t="n">
        <f aca="false">U11*Assumptions!$C$31*AA12</f>
        <v>0</v>
      </c>
      <c r="AG12" s="36" t="n">
        <f aca="false">X12*Assumptions!$C$37*Assumptions!$C$38</f>
        <v>5.21422699239582</v>
      </c>
      <c r="AH12" s="36" t="n">
        <f aca="false">Z12*Assumptions!$C$44*Assumptions!$C$45</f>
        <v>0</v>
      </c>
      <c r="AI12" s="36" t="n">
        <f aca="false">SUM(AB12:AH12)</f>
        <v>443.078404256397</v>
      </c>
      <c r="AJ12" s="36" t="n">
        <f aca="false">(S12*Assumptions!$C$28+T12*Assumptions!$C$30+U12*Assumptions!$C$31)*AA12+AG12+AH12</f>
        <v>309.774665964041</v>
      </c>
      <c r="AK12" s="36" t="n">
        <f aca="false">(AI12-AH12)*Assumptions!$C$49</f>
        <v>17.7231361702559</v>
      </c>
      <c r="AL12" s="36" t="n">
        <f aca="false">(AC12+AE12+AF12)*Assumptions!$C$50</f>
        <v>1.78043193580578</v>
      </c>
      <c r="AM12" s="36" t="n">
        <f aca="false">S12*Assumptions!$C$51+M12*Assumptions!$C$52</f>
        <v>7.54667966579746</v>
      </c>
      <c r="AN12" s="36" t="n">
        <f aca="false">Assumptions!$C$53+Assumptions!$C$54*(S12+T12+U12)</f>
        <v>212.51414478175</v>
      </c>
      <c r="AO12" s="36" t="n">
        <f aca="false">IF(C12&gt;=2,Assumptions!$C$55,0)</f>
        <v>0</v>
      </c>
      <c r="AP12" s="33" t="n">
        <f aca="false">E12*Assumptions!$C$60/60+F12*Assumptions!$C$61+J12*Assumptions!$C$62+(S12+T12)*Assumptions!$C$63+X12*Assumptions!$C$64+Z12*Assumptions!$C$65+U12*Assumptions!$C$66+Assumptions!$C$67*52/12</f>
        <v>45.7193656640084</v>
      </c>
      <c r="AQ12" s="33" t="n">
        <f aca="false">IF(BC11=1,Assumptions!$C$69,Assumptions!$C$68)*52/12</f>
        <v>78</v>
      </c>
      <c r="AR12" s="33" t="n">
        <f aca="false">MAX(0,AP12-AQ12)</f>
        <v>0</v>
      </c>
      <c r="AS12" s="36" t="n">
        <f aca="false">AR12*Assumptions!$C$70*Assumptions!$C$71</f>
        <v>0</v>
      </c>
      <c r="AT12" s="36" t="n">
        <f aca="false">Assumptions!$C$56/12</f>
        <v>100</v>
      </c>
      <c r="AU12" s="36" t="n">
        <f aca="false">IF(A12=1,Assumptions!$C$57,0)+Assumptions!$C$58</f>
        <v>60</v>
      </c>
      <c r="AV12" s="36" t="n">
        <f aca="false">IF(AND(Y12&gt;0,Y12=A12),Assumptions!$C$46,0)+IF(Y12&gt;0,Assumptions!$C$47,0)</f>
        <v>0</v>
      </c>
      <c r="AW12" s="36" t="n">
        <f aca="false">AK12+AL12+AM12+AN12+AO12+AS12+AT12+AU12+AV12</f>
        <v>399.564392553609</v>
      </c>
      <c r="AX12" s="36" t="n">
        <f aca="false">AI12-AW12</f>
        <v>43.5140117027876</v>
      </c>
      <c r="AY12" s="36" t="n">
        <f aca="false">MAX(0,AX12)*Assumptions!$C$73</f>
        <v>13.0542035108363</v>
      </c>
      <c r="AZ12" s="36" t="n">
        <f aca="false">AX12-AY12</f>
        <v>30.4598081919513</v>
      </c>
      <c r="BA12" s="36" t="n">
        <f aca="false">BA11+AZ12</f>
        <v>-1373.29708025921</v>
      </c>
      <c r="BB12" s="31" t="n">
        <f aca="false">IF(AZ12&gt;=Assumptions!$C$74/12,BB11+1,0)</f>
        <v>0</v>
      </c>
      <c r="BC12" s="31" t="n">
        <f aca="false">IF(OR(BC11=1,BB12&gt;=3),1,0)</f>
        <v>0</v>
      </c>
      <c r="BD12" s="31" t="n">
        <f aca="false">IF(AZ12&gt;=Assumptions!$C$75/12,BD11+1,0)</f>
        <v>0</v>
      </c>
      <c r="BE12" s="33" t="n">
        <f aca="false">AP12*12/52</f>
        <v>10.5506228455404</v>
      </c>
      <c r="BF12" s="33" t="n">
        <f aca="false">AR12*12/52</f>
        <v>0</v>
      </c>
      <c r="BG12" s="31" t="n">
        <f aca="false">IF(AX12&gt;0,A12,999)</f>
        <v>8</v>
      </c>
      <c r="BH12" s="31" t="n">
        <f aca="false">IF(BB12&gt;=3,A12,999)</f>
        <v>999</v>
      </c>
      <c r="BI12" s="31" t="n">
        <f aca="false">IF(BD12&gt;=3,A12,999)</f>
        <v>999</v>
      </c>
    </row>
    <row r="13" customFormat="false" ht="15" hidden="false" customHeight="false" outlineLevel="0" collapsed="false">
      <c r="A13" s="31" t="n">
        <v>9</v>
      </c>
      <c r="B13" s="32" t="n">
        <f aca="false">DATE(2026,10+A13,1)</f>
        <v>46569</v>
      </c>
      <c r="C13" s="31" t="n">
        <f aca="false">INT((A13-1)/12)+1</f>
        <v>1</v>
      </c>
      <c r="D13" s="31" t="n">
        <f aca="false">IF(C13=1,Assumptions!$C$7,IF(C13=2,Assumptions!$C$8,Assumptions!$C$9))</f>
        <v>10</v>
      </c>
      <c r="E13" s="31" t="n">
        <f aca="false">D13*Assumptions!$C$10</f>
        <v>200</v>
      </c>
      <c r="F13" s="33" t="n">
        <f aca="false">E13*Assumptions!$C$11</f>
        <v>10</v>
      </c>
      <c r="G13" s="34" t="n">
        <f aca="false">MIN(1,Assumptions!$C$13+(1-Assumptions!$C$13)*(A13-1)/Assumptions!$C$14)</f>
        <v>0.933333333333333</v>
      </c>
      <c r="H13" s="33" t="n">
        <f aca="false">F13*Assumptions!$C$12*G13</f>
        <v>0.933333333333333</v>
      </c>
      <c r="I13" s="33" t="n">
        <f aca="false">Assumptions!$C$15*(Q12+R12+T12+U12)</f>
        <v>0.0156426809771875</v>
      </c>
      <c r="J13" s="33" t="n">
        <f aca="false">H13+I13</f>
        <v>0.948976014310521</v>
      </c>
      <c r="K13" s="33" t="n">
        <f aca="false">J13*Assumptions!$C$18</f>
        <v>0</v>
      </c>
      <c r="L13" s="33" t="n">
        <f aca="false">(J13-K13)*Assumptions!$C$17</f>
        <v>0.664283210017365</v>
      </c>
      <c r="M13" s="33" t="n">
        <f aca="false">J13-K13-L13</f>
        <v>0.284692804293156</v>
      </c>
      <c r="N13" s="33" t="n">
        <f aca="false">L13*Assumptions!$C$19</f>
        <v>0.0996424815026047</v>
      </c>
      <c r="O13" s="33" t="n">
        <f aca="false">L13-N13</f>
        <v>0.56464072851476</v>
      </c>
      <c r="P13" s="33" t="n">
        <f aca="false">0</f>
        <v>0</v>
      </c>
      <c r="Q13" s="33" t="n">
        <f aca="false">Q12*(1-Assumptions!$C$20)+O13-P13</f>
        <v>3.37753862558684</v>
      </c>
      <c r="R13" s="33" t="n">
        <f aca="false">R12*(1-Assumptions!$C$22)+P13*(1-Assumptions!$C$21)</f>
        <v>0</v>
      </c>
      <c r="S13" s="33" t="n">
        <f aca="false">Q13+R13</f>
        <v>3.37753862558684</v>
      </c>
      <c r="T13" s="33" t="n">
        <f aca="false">T12*(1-Assumptions!$C$24)+M13*Assumptions!$C$23</f>
        <v>0.299676846561958</v>
      </c>
      <c r="U13" s="33" t="n">
        <f aca="false">U12*(1-Assumptions!$C$25)+K13</f>
        <v>0</v>
      </c>
      <c r="V13" s="33" t="n">
        <f aca="false">V12+M13</f>
        <v>1.818839210537</v>
      </c>
      <c r="W13" s="33" t="n">
        <f aca="false">N13+Q12*Assumptions!$C$20+P13*Assumptions!$C$21+R12*Assumptions!$C$22+T12*Assumptions!$C$24+U12*Assumptions!$C$25</f>
        <v>0.172542494164688</v>
      </c>
      <c r="X13" s="33" t="n">
        <f aca="false">IF(A13&lt;Assumptions!$C$34,0,Assumptions!$C$36*MIN(1,(A13-Assumptions!$C$34+1)/Assumptions!$C$35))*(S13+T13)</f>
        <v>0.163431798762169</v>
      </c>
      <c r="Y13" s="31" t="n">
        <f aca="false">IF(Y12&gt;0,Y12,IF(AND(A13&gt;=Assumptions!$C$41,Q12+R12+T12&gt;=Assumptions!$C$40),A13,0))</f>
        <v>0</v>
      </c>
      <c r="Z13" s="33" t="n">
        <f aca="false">IF(Y13&gt;0,Assumptions!$C$42*MIN(1,(A13-Y13+1)/Assumptions!$C$43),0)*(S13+T13)</f>
        <v>0</v>
      </c>
      <c r="AA13" s="35" t="n">
        <f aca="false">(1+Assumptions!$C$32)^(C13-1)</f>
        <v>1</v>
      </c>
      <c r="AB13" s="36" t="n">
        <f aca="false">O13*Assumptions!$C$27*AA13</f>
        <v>55.8994321229612</v>
      </c>
      <c r="AC13" s="36" t="n">
        <f aca="false">(Q12+R12)*Assumptions!$C$28*AA13</f>
        <v>284.160093683812</v>
      </c>
      <c r="AD13" s="36" t="n">
        <f aca="false">M13*Assumptions!$C$29*AA13</f>
        <v>142.061709342285</v>
      </c>
      <c r="AE13" s="36" t="n">
        <f aca="false">T12*Assumptions!$C$30*AA13</f>
        <v>20.4003452878328</v>
      </c>
      <c r="AF13" s="36" t="n">
        <f aca="false">U12*Assumptions!$C$31*AA13</f>
        <v>0</v>
      </c>
      <c r="AG13" s="36" t="n">
        <f aca="false">X13*Assumptions!$C$37*Assumptions!$C$38</f>
        <v>8.17158993810844</v>
      </c>
      <c r="AH13" s="36" t="n">
        <f aca="false">Z13*Assumptions!$C$44*Assumptions!$C$45</f>
        <v>0</v>
      </c>
      <c r="AI13" s="36" t="n">
        <f aca="false">SUM(AB13:AH13)</f>
        <v>510.693170375</v>
      </c>
      <c r="AJ13" s="36" t="n">
        <f aca="false">(S13*Assumptions!$C$28+T13*Assumptions!$C$30+U13*Assumptions!$C$31)*AA13+AG13+AH13</f>
        <v>366.2223847496</v>
      </c>
      <c r="AK13" s="36" t="n">
        <f aca="false">(AI13-AH13)*Assumptions!$C$49</f>
        <v>20.427726815</v>
      </c>
      <c r="AL13" s="36" t="n">
        <f aca="false">(AC13+AE13+AF13)*Assumptions!$C$50</f>
        <v>2.13192307280152</v>
      </c>
      <c r="AM13" s="36" t="n">
        <f aca="false">S13*Assumptions!$C$51+M13*Assumptions!$C$52</f>
        <v>8.4923153463809</v>
      </c>
      <c r="AN13" s="36" t="n">
        <f aca="false">Assumptions!$C$53+Assumptions!$C$54*(S13+T13+U13)</f>
        <v>214.708861888595</v>
      </c>
      <c r="AO13" s="36" t="n">
        <f aca="false">IF(C13&gt;=2,Assumptions!$C$55,0)</f>
        <v>0</v>
      </c>
      <c r="AP13" s="33" t="n">
        <f aca="false">E13*Assumptions!$C$60/60+F13*Assumptions!$C$61+J13*Assumptions!$C$62+(S13+T13)*Assumptions!$C$63+X13*Assumptions!$C$64+Z13*Assumptions!$C$65+U13*Assumptions!$C$66+Assumptions!$C$67*52/12</f>
        <v>47.1131733520391</v>
      </c>
      <c r="AQ13" s="33" t="n">
        <f aca="false">IF(BC12=1,Assumptions!$C$69,Assumptions!$C$68)*52/12</f>
        <v>78</v>
      </c>
      <c r="AR13" s="33" t="n">
        <f aca="false">MAX(0,AP13-AQ13)</f>
        <v>0</v>
      </c>
      <c r="AS13" s="36" t="n">
        <f aca="false">AR13*Assumptions!$C$70*Assumptions!$C$71</f>
        <v>0</v>
      </c>
      <c r="AT13" s="36" t="n">
        <f aca="false">Assumptions!$C$56/12</f>
        <v>100</v>
      </c>
      <c r="AU13" s="36" t="n">
        <f aca="false">IF(A13=1,Assumptions!$C$57,0)+Assumptions!$C$58</f>
        <v>60</v>
      </c>
      <c r="AV13" s="36" t="n">
        <f aca="false">IF(AND(Y13&gt;0,Y13=A13),Assumptions!$C$46,0)+IF(Y13&gt;0,Assumptions!$C$47,0)</f>
        <v>0</v>
      </c>
      <c r="AW13" s="36" t="n">
        <f aca="false">AK13+AL13+AM13+AN13+AO13+AS13+AT13+AU13+AV13</f>
        <v>405.760827122778</v>
      </c>
      <c r="AX13" s="36" t="n">
        <f aca="false">AI13-AW13</f>
        <v>104.932343252222</v>
      </c>
      <c r="AY13" s="36" t="n">
        <f aca="false">MAX(0,AX13)*Assumptions!$C$73</f>
        <v>31.4797029756666</v>
      </c>
      <c r="AZ13" s="36" t="n">
        <f aca="false">AX13-AY13</f>
        <v>73.4526402765554</v>
      </c>
      <c r="BA13" s="36" t="n">
        <f aca="false">BA12+AZ13</f>
        <v>-1299.84443998266</v>
      </c>
      <c r="BB13" s="31" t="n">
        <f aca="false">IF(AZ13&gt;=Assumptions!$C$74/12,BB12+1,0)</f>
        <v>0</v>
      </c>
      <c r="BC13" s="31" t="n">
        <f aca="false">IF(OR(BC12=1,BB13&gt;=3),1,0)</f>
        <v>0</v>
      </c>
      <c r="BD13" s="31" t="n">
        <f aca="false">IF(AZ13&gt;=Assumptions!$C$75/12,BD12+1,0)</f>
        <v>0</v>
      </c>
      <c r="BE13" s="33" t="n">
        <f aca="false">AP13*12/52</f>
        <v>10.8722707735475</v>
      </c>
      <c r="BF13" s="33" t="n">
        <f aca="false">AR13*12/52</f>
        <v>0</v>
      </c>
      <c r="BG13" s="31" t="n">
        <f aca="false">IF(AX13&gt;0,A13,999)</f>
        <v>9</v>
      </c>
      <c r="BH13" s="31" t="n">
        <f aca="false">IF(BB13&gt;=3,A13,999)</f>
        <v>999</v>
      </c>
      <c r="BI13" s="31" t="n">
        <f aca="false">IF(BD13&gt;=3,A13,999)</f>
        <v>999</v>
      </c>
    </row>
    <row r="14" customFormat="false" ht="15" hidden="false" customHeight="false" outlineLevel="0" collapsed="false">
      <c r="A14" s="31" t="n">
        <v>10</v>
      </c>
      <c r="B14" s="32" t="n">
        <f aca="false">DATE(2026,10+A14,1)</f>
        <v>46600</v>
      </c>
      <c r="C14" s="31" t="n">
        <f aca="false">INT((A14-1)/12)+1</f>
        <v>1</v>
      </c>
      <c r="D14" s="31" t="n">
        <f aca="false">IF(C14=1,Assumptions!$C$7,IF(C14=2,Assumptions!$C$8,Assumptions!$C$9))</f>
        <v>10</v>
      </c>
      <c r="E14" s="31" t="n">
        <f aca="false">D14*Assumptions!$C$10</f>
        <v>200</v>
      </c>
      <c r="F14" s="33" t="n">
        <f aca="false">E14*Assumptions!$C$11</f>
        <v>10</v>
      </c>
      <c r="G14" s="34" t="n">
        <f aca="false">MIN(1,Assumptions!$C$13+(1-Assumptions!$C$13)*(A14-1)/Assumptions!$C$14)</f>
        <v>1</v>
      </c>
      <c r="H14" s="33" t="n">
        <f aca="false">F14*Assumptions!$C$12*G14</f>
        <v>1</v>
      </c>
      <c r="I14" s="33" t="n">
        <f aca="false">Assumptions!$C$15*(Q13+R13+T13+U13)</f>
        <v>0.018386077360744</v>
      </c>
      <c r="J14" s="33" t="n">
        <f aca="false">H14+I14</f>
        <v>1.01838607736074</v>
      </c>
      <c r="K14" s="33" t="n">
        <f aca="false">J14*Assumptions!$C$18</f>
        <v>0</v>
      </c>
      <c r="L14" s="33" t="n">
        <f aca="false">(J14-K14)*Assumptions!$C$17</f>
        <v>0.712870254152521</v>
      </c>
      <c r="M14" s="33" t="n">
        <f aca="false">J14-K14-L14</f>
        <v>0.305515823208223</v>
      </c>
      <c r="N14" s="33" t="n">
        <f aca="false">L14*Assumptions!$C$19</f>
        <v>0.106930538122878</v>
      </c>
      <c r="O14" s="33" t="n">
        <f aca="false">L14-N14</f>
        <v>0.605939716029643</v>
      </c>
      <c r="P14" s="33" t="n">
        <f aca="false">0</f>
        <v>0</v>
      </c>
      <c r="Q14" s="33" t="n">
        <f aca="false">Q13*(1-Assumptions!$C$20)+O14-P14</f>
        <v>3.91592756910475</v>
      </c>
      <c r="R14" s="33" t="n">
        <f aca="false">R13*(1-Assumptions!$C$22)+P14*(1-Assumptions!$C$21)</f>
        <v>0</v>
      </c>
      <c r="S14" s="33" t="n">
        <f aca="false">Q14+R14</f>
        <v>3.91592756910475</v>
      </c>
      <c r="T14" s="33" t="n">
        <f aca="false">T13*(1-Assumptions!$C$24)+M14*Assumptions!$C$23</f>
        <v>0.342799400409885</v>
      </c>
      <c r="U14" s="33" t="n">
        <f aca="false">U13*(1-Assumptions!$C$25)+K14</f>
        <v>0</v>
      </c>
      <c r="V14" s="33" t="n">
        <f aca="false">V13+M14</f>
        <v>2.12435503374523</v>
      </c>
      <c r="W14" s="33" t="n">
        <f aca="false">N14+Q13*Assumptions!$C$20+P14*Assumptions!$C$21+R13*Assumptions!$C$22+T13*Assumptions!$C$24+U13*Assumptions!$C$25</f>
        <v>0.192461921428332</v>
      </c>
      <c r="X14" s="33" t="n">
        <f aca="false">IF(A14&lt;Assumptions!$C$34,0,Assumptions!$C$36*MIN(1,(A14-Assumptions!$C$34+1)/Assumptions!$C$35))*(S14+T14)</f>
        <v>0.236595942750813</v>
      </c>
      <c r="Y14" s="31" t="n">
        <f aca="false">IF(Y13&gt;0,Y13,IF(AND(A14&gt;=Assumptions!$C$41,Q13+R13+T13&gt;=Assumptions!$C$40),A14,0))</f>
        <v>0</v>
      </c>
      <c r="Z14" s="33" t="n">
        <f aca="false">IF(Y14&gt;0,Assumptions!$C$42*MIN(1,(A14-Y14+1)/Assumptions!$C$43),0)*(S14+T14)</f>
        <v>0</v>
      </c>
      <c r="AA14" s="35" t="n">
        <f aca="false">(1+Assumptions!$C$32)^(C14-1)</f>
        <v>1</v>
      </c>
      <c r="AB14" s="36" t="n">
        <f aca="false">O14*Assumptions!$C$27*AA14</f>
        <v>59.9880318869346</v>
      </c>
      <c r="AC14" s="36" t="n">
        <f aca="false">(Q13+R13)*Assumptions!$C$28*AA14</f>
        <v>334.376323933097</v>
      </c>
      <c r="AD14" s="36" t="n">
        <f aca="false">M14*Assumptions!$C$29*AA14</f>
        <v>152.452395780903</v>
      </c>
      <c r="AE14" s="36" t="n">
        <f aca="false">T13*Assumptions!$C$30*AA14</f>
        <v>23.6744708783947</v>
      </c>
      <c r="AF14" s="36" t="n">
        <f aca="false">U13*Assumptions!$C$31*AA14</f>
        <v>0</v>
      </c>
      <c r="AG14" s="36" t="n">
        <f aca="false">X14*Assumptions!$C$37*Assumptions!$C$38</f>
        <v>11.8297971375406</v>
      </c>
      <c r="AH14" s="36" t="n">
        <f aca="false">Z14*Assumptions!$C$44*Assumptions!$C$45</f>
        <v>0</v>
      </c>
      <c r="AI14" s="36" t="n">
        <f aca="false">SUM(AB14:AH14)</f>
        <v>582.321019616871</v>
      </c>
      <c r="AJ14" s="36" t="n">
        <f aca="false">(S14*Assumptions!$C$28+T14*Assumptions!$C$30+U14*Assumptions!$C$31)*AA14+AG14+AH14</f>
        <v>426.587779111291</v>
      </c>
      <c r="AK14" s="36" t="n">
        <f aca="false">(AI14-AH14)*Assumptions!$C$49</f>
        <v>23.2928407846748</v>
      </c>
      <c r="AL14" s="36" t="n">
        <f aca="false">(AC14+AE14+AF14)*Assumptions!$C$50</f>
        <v>2.50635556368044</v>
      </c>
      <c r="AM14" s="36" t="n">
        <f aca="false">S14*Assumptions!$C$51+M14*Assumptions!$C$52</f>
        <v>9.47764680950428</v>
      </c>
      <c r="AN14" s="36" t="n">
        <f aca="false">Assumptions!$C$53+Assumptions!$C$54*(S14+T14+U14)</f>
        <v>217.034907878059</v>
      </c>
      <c r="AO14" s="36" t="n">
        <f aca="false">IF(C14&gt;=2,Assumptions!$C$55,0)</f>
        <v>0</v>
      </c>
      <c r="AP14" s="33" t="n">
        <f aca="false">E14*Assumptions!$C$60/60+F14*Assumptions!$C$61+J14*Assumptions!$C$62+(S14+T14)*Assumptions!$C$63+X14*Assumptions!$C$64+Z14*Assumptions!$C$65+U14*Assumptions!$C$66+Assumptions!$C$67*52/12</f>
        <v>48.5941727519044</v>
      </c>
      <c r="AQ14" s="33" t="n">
        <f aca="false">IF(BC13=1,Assumptions!$C$69,Assumptions!$C$68)*52/12</f>
        <v>78</v>
      </c>
      <c r="AR14" s="33" t="n">
        <f aca="false">MAX(0,AP14-AQ14)</f>
        <v>0</v>
      </c>
      <c r="AS14" s="36" t="n">
        <f aca="false">AR14*Assumptions!$C$70*Assumptions!$C$71</f>
        <v>0</v>
      </c>
      <c r="AT14" s="36" t="n">
        <f aca="false">Assumptions!$C$56/12</f>
        <v>100</v>
      </c>
      <c r="AU14" s="36" t="n">
        <f aca="false">IF(A14=1,Assumptions!$C$57,0)+Assumptions!$C$58</f>
        <v>60</v>
      </c>
      <c r="AV14" s="36" t="n">
        <f aca="false">IF(AND(Y14&gt;0,Y14=A14),Assumptions!$C$46,0)+IF(Y14&gt;0,Assumptions!$C$47,0)</f>
        <v>0</v>
      </c>
      <c r="AW14" s="36" t="n">
        <f aca="false">AK14+AL14+AM14+AN14+AO14+AS14+AT14+AU14+AV14</f>
        <v>412.311751035918</v>
      </c>
      <c r="AX14" s="36" t="n">
        <f aca="false">AI14-AW14</f>
        <v>170.009268580953</v>
      </c>
      <c r="AY14" s="36" t="n">
        <f aca="false">MAX(0,AX14)*Assumptions!$C$73</f>
        <v>51.0027805742857</v>
      </c>
      <c r="AZ14" s="36" t="n">
        <f aca="false">AX14-AY14</f>
        <v>119.006488006667</v>
      </c>
      <c r="BA14" s="36" t="n">
        <f aca="false">BA13+AZ14</f>
        <v>-1180.83795197599</v>
      </c>
      <c r="BB14" s="31" t="n">
        <f aca="false">IF(AZ14&gt;=Assumptions!$C$74/12,BB13+1,0)</f>
        <v>0</v>
      </c>
      <c r="BC14" s="31" t="n">
        <f aca="false">IF(OR(BC13=1,BB14&gt;=3),1,0)</f>
        <v>0</v>
      </c>
      <c r="BD14" s="31" t="n">
        <f aca="false">IF(AZ14&gt;=Assumptions!$C$75/12,BD13+1,0)</f>
        <v>0</v>
      </c>
      <c r="BE14" s="33" t="n">
        <f aca="false">AP14*12/52</f>
        <v>11.2140398658241</v>
      </c>
      <c r="BF14" s="33" t="n">
        <f aca="false">AR14*12/52</f>
        <v>0</v>
      </c>
      <c r="BG14" s="31" t="n">
        <f aca="false">IF(AX14&gt;0,A14,999)</f>
        <v>10</v>
      </c>
      <c r="BH14" s="31" t="n">
        <f aca="false">IF(BB14&gt;=3,A14,999)</f>
        <v>999</v>
      </c>
      <c r="BI14" s="31" t="n">
        <f aca="false">IF(BD14&gt;=3,A14,999)</f>
        <v>999</v>
      </c>
    </row>
    <row r="15" customFormat="false" ht="15" hidden="false" customHeight="false" outlineLevel="0" collapsed="false">
      <c r="A15" s="31" t="n">
        <v>11</v>
      </c>
      <c r="B15" s="32" t="n">
        <f aca="false">DATE(2026,10+A15,1)</f>
        <v>46631</v>
      </c>
      <c r="C15" s="31" t="n">
        <f aca="false">INT((A15-1)/12)+1</f>
        <v>1</v>
      </c>
      <c r="D15" s="31" t="n">
        <f aca="false">IF(C15=1,Assumptions!$C$7,IF(C15=2,Assumptions!$C$8,Assumptions!$C$9))</f>
        <v>10</v>
      </c>
      <c r="E15" s="31" t="n">
        <f aca="false">D15*Assumptions!$C$10</f>
        <v>200</v>
      </c>
      <c r="F15" s="33" t="n">
        <f aca="false">E15*Assumptions!$C$11</f>
        <v>10</v>
      </c>
      <c r="G15" s="34" t="n">
        <f aca="false">MIN(1,Assumptions!$C$13+(1-Assumptions!$C$13)*(A15-1)/Assumptions!$C$14)</f>
        <v>1</v>
      </c>
      <c r="H15" s="33" t="n">
        <f aca="false">F15*Assumptions!$C$12*G15</f>
        <v>1</v>
      </c>
      <c r="I15" s="33" t="n">
        <f aca="false">Assumptions!$C$15*(Q14+R14+T14+U14)</f>
        <v>0.0212936348475732</v>
      </c>
      <c r="J15" s="33" t="n">
        <f aca="false">H15+I15</f>
        <v>1.02129363484757</v>
      </c>
      <c r="K15" s="33" t="n">
        <f aca="false">J15*Assumptions!$C$18</f>
        <v>0</v>
      </c>
      <c r="L15" s="33" t="n">
        <f aca="false">(J15-K15)*Assumptions!$C$17</f>
        <v>0.714905544393301</v>
      </c>
      <c r="M15" s="33" t="n">
        <f aca="false">J15-K15-L15</f>
        <v>0.306388090454272</v>
      </c>
      <c r="N15" s="33" t="n">
        <f aca="false">L15*Assumptions!$C$19</f>
        <v>0.107235831658995</v>
      </c>
      <c r="O15" s="33" t="n">
        <f aca="false">L15-N15</f>
        <v>0.607669712734306</v>
      </c>
      <c r="P15" s="33" t="n">
        <f aca="false">0</f>
        <v>0</v>
      </c>
      <c r="Q15" s="33" t="n">
        <f aca="false">Q14*(1-Assumptions!$C$20)+O15-P15</f>
        <v>4.44527873045696</v>
      </c>
      <c r="R15" s="33" t="n">
        <f aca="false">R14*(1-Assumptions!$C$22)+P15*(1-Assumptions!$C$21)</f>
        <v>0</v>
      </c>
      <c r="S15" s="33" t="n">
        <f aca="false">Q15+R15</f>
        <v>4.44527873045696</v>
      </c>
      <c r="T15" s="33" t="n">
        <f aca="false">T14*(1-Assumptions!$C$24)+M15*Assumptions!$C$23</f>
        <v>0.383509054476146</v>
      </c>
      <c r="U15" s="33" t="n">
        <f aca="false">U14*(1-Assumptions!$C$25)+K15</f>
        <v>0</v>
      </c>
      <c r="V15" s="33" t="n">
        <f aca="false">V14+M15</f>
        <v>2.4307431241995</v>
      </c>
      <c r="W15" s="33" t="n">
        <f aca="false">N15+Q14*Assumptions!$C$20+P15*Assumptions!$C$21+R14*Assumptions!$C$22+T14*Assumptions!$C$24+U14*Assumptions!$C$25</f>
        <v>0.206122347065683</v>
      </c>
      <c r="X15" s="33" t="n">
        <f aca="false">IF(A15&lt;Assumptions!$C$34,0,Assumptions!$C$36*MIN(1,(A15-Assumptions!$C$34+1)/Assumptions!$C$35))*(S15+T15)</f>
        <v>0.321919185662207</v>
      </c>
      <c r="Y15" s="31" t="n">
        <f aca="false">IF(Y14&gt;0,Y14,IF(AND(A15&gt;=Assumptions!$C$41,Q14+R14+T14&gt;=Assumptions!$C$40),A15,0))</f>
        <v>0</v>
      </c>
      <c r="Z15" s="33" t="n">
        <f aca="false">IF(Y15&gt;0,Assumptions!$C$42*MIN(1,(A15-Y15+1)/Assumptions!$C$43),0)*(S15+T15)</f>
        <v>0</v>
      </c>
      <c r="AA15" s="35" t="n">
        <f aca="false">(1+Assumptions!$C$32)^(C15-1)</f>
        <v>1</v>
      </c>
      <c r="AB15" s="36" t="n">
        <f aca="false">O15*Assumptions!$C$27*AA15</f>
        <v>60.1593015606963</v>
      </c>
      <c r="AC15" s="36" t="n">
        <f aca="false">(Q14+R14)*Assumptions!$C$28*AA15</f>
        <v>387.67682934137</v>
      </c>
      <c r="AD15" s="36" t="n">
        <f aca="false">M15*Assumptions!$C$29*AA15</f>
        <v>152.887657136682</v>
      </c>
      <c r="AE15" s="36" t="n">
        <f aca="false">T14*Assumptions!$C$30*AA15</f>
        <v>27.0811526323809</v>
      </c>
      <c r="AF15" s="36" t="n">
        <f aca="false">U14*Assumptions!$C$31*AA15</f>
        <v>0</v>
      </c>
      <c r="AG15" s="36" t="n">
        <f aca="false">X15*Assumptions!$C$37*Assumptions!$C$38</f>
        <v>16.0959592831103</v>
      </c>
      <c r="AH15" s="36" t="n">
        <f aca="false">Z15*Assumptions!$C$44*Assumptions!$C$45</f>
        <v>0</v>
      </c>
      <c r="AI15" s="36" t="n">
        <f aca="false">SUM(AB15:AH15)</f>
        <v>643.900899954239</v>
      </c>
      <c r="AJ15" s="36" t="n">
        <f aca="false">(S15*Assumptions!$C$28+T15*Assumptions!$C$30+U15*Assumptions!$C$31)*AA15+AG15+AH15</f>
        <v>486.475768901965</v>
      </c>
      <c r="AK15" s="36" t="n">
        <f aca="false">(AI15-AH15)*Assumptions!$C$49</f>
        <v>25.7560359981696</v>
      </c>
      <c r="AL15" s="36" t="n">
        <f aca="false">(AC15+AE15+AF15)*Assumptions!$C$50</f>
        <v>2.90330587381626</v>
      </c>
      <c r="AM15" s="36" t="n">
        <f aca="false">S15*Assumptions!$C$51+M15*Assumptions!$C$52</f>
        <v>10.1524197698853</v>
      </c>
      <c r="AN15" s="36" t="n">
        <f aca="false">Assumptions!$C$53+Assumptions!$C$54*(S15+T15+U15)</f>
        <v>219.315151139732</v>
      </c>
      <c r="AO15" s="36" t="n">
        <f aca="false">IF(C15&gt;=2,Assumptions!$C$55,0)</f>
        <v>0</v>
      </c>
      <c r="AP15" s="33" t="n">
        <f aca="false">E15*Assumptions!$C$60/60+F15*Assumptions!$C$61+J15*Assumptions!$C$62+(S15+T15)*Assumptions!$C$63+X15*Assumptions!$C$64+Z15*Assumptions!$C$65+U15*Assumptions!$C$66+Assumptions!$C$67*52/12</f>
        <v>49.8710019195689</v>
      </c>
      <c r="AQ15" s="33" t="n">
        <f aca="false">IF(BC14=1,Assumptions!$C$69,Assumptions!$C$68)*52/12</f>
        <v>78</v>
      </c>
      <c r="AR15" s="33" t="n">
        <f aca="false">MAX(0,AP15-AQ15)</f>
        <v>0</v>
      </c>
      <c r="AS15" s="36" t="n">
        <f aca="false">AR15*Assumptions!$C$70*Assumptions!$C$71</f>
        <v>0</v>
      </c>
      <c r="AT15" s="36" t="n">
        <f aca="false">Assumptions!$C$56/12</f>
        <v>100</v>
      </c>
      <c r="AU15" s="36" t="n">
        <f aca="false">IF(A15=1,Assumptions!$C$57,0)+Assumptions!$C$58</f>
        <v>60</v>
      </c>
      <c r="AV15" s="36" t="n">
        <f aca="false">IF(AND(Y15&gt;0,Y15=A15),Assumptions!$C$46,0)+IF(Y15&gt;0,Assumptions!$C$47,0)</f>
        <v>0</v>
      </c>
      <c r="AW15" s="36" t="n">
        <f aca="false">AK15+AL15+AM15+AN15+AO15+AS15+AT15+AU15+AV15</f>
        <v>418.126912781604</v>
      </c>
      <c r="AX15" s="36" t="n">
        <f aca="false">AI15-AW15</f>
        <v>225.773987172636</v>
      </c>
      <c r="AY15" s="36" t="n">
        <f aca="false">MAX(0,AX15)*Assumptions!$C$73</f>
        <v>67.7321961517907</v>
      </c>
      <c r="AZ15" s="36" t="n">
        <f aca="false">AX15-AY15</f>
        <v>158.041791020845</v>
      </c>
      <c r="BA15" s="36" t="n">
        <f aca="false">BA14+AZ15</f>
        <v>-1022.79616095515</v>
      </c>
      <c r="BB15" s="31" t="n">
        <f aca="false">IF(AZ15&gt;=Assumptions!$C$74/12,BB14+1,0)</f>
        <v>0</v>
      </c>
      <c r="BC15" s="31" t="n">
        <f aca="false">IF(OR(BC14=1,BB15&gt;=3),1,0)</f>
        <v>0</v>
      </c>
      <c r="BD15" s="31" t="n">
        <f aca="false">IF(AZ15&gt;=Assumptions!$C$75/12,BD14+1,0)</f>
        <v>0</v>
      </c>
      <c r="BE15" s="33" t="n">
        <f aca="false">AP15*12/52</f>
        <v>11.5086927506697</v>
      </c>
      <c r="BF15" s="33" t="n">
        <f aca="false">AR15*12/52</f>
        <v>0</v>
      </c>
      <c r="BG15" s="31" t="n">
        <f aca="false">IF(AX15&gt;0,A15,999)</f>
        <v>11</v>
      </c>
      <c r="BH15" s="31" t="n">
        <f aca="false">IF(BB15&gt;=3,A15,999)</f>
        <v>999</v>
      </c>
      <c r="BI15" s="31" t="n">
        <f aca="false">IF(BD15&gt;=3,A15,999)</f>
        <v>999</v>
      </c>
    </row>
    <row r="16" customFormat="false" ht="15" hidden="false" customHeight="false" outlineLevel="0" collapsed="false">
      <c r="A16" s="37" t="n">
        <v>12</v>
      </c>
      <c r="B16" s="38" t="n">
        <f aca="false">DATE(2026,10+A16,1)</f>
        <v>46661</v>
      </c>
      <c r="C16" s="37" t="n">
        <f aca="false">INT((A16-1)/12)+1</f>
        <v>1</v>
      </c>
      <c r="D16" s="37" t="n">
        <f aca="false">IF(C16=1,Assumptions!$C$7,IF(C16=2,Assumptions!$C$8,Assumptions!$C$9))</f>
        <v>10</v>
      </c>
      <c r="E16" s="37" t="n">
        <f aca="false">D16*Assumptions!$C$10</f>
        <v>200</v>
      </c>
      <c r="F16" s="39" t="n">
        <f aca="false">E16*Assumptions!$C$11</f>
        <v>10</v>
      </c>
      <c r="G16" s="40" t="n">
        <f aca="false">MIN(1,Assumptions!$C$13+(1-Assumptions!$C$13)*(A16-1)/Assumptions!$C$14)</f>
        <v>1</v>
      </c>
      <c r="H16" s="39" t="n">
        <f aca="false">F16*Assumptions!$C$12*G16</f>
        <v>1</v>
      </c>
      <c r="I16" s="39" t="n">
        <f aca="false">Assumptions!$C$15*(Q15+R15+T15+U15)</f>
        <v>0.0241439389246655</v>
      </c>
      <c r="J16" s="39" t="n">
        <f aca="false">H16+I16</f>
        <v>1.02414393892467</v>
      </c>
      <c r="K16" s="39" t="n">
        <f aca="false">J16*Assumptions!$C$18</f>
        <v>0</v>
      </c>
      <c r="L16" s="39" t="n">
        <f aca="false">(J16-K16)*Assumptions!$C$17</f>
        <v>0.716900757247266</v>
      </c>
      <c r="M16" s="39" t="n">
        <f aca="false">J16-K16-L16</f>
        <v>0.3072431816774</v>
      </c>
      <c r="N16" s="39" t="n">
        <f aca="false">L16*Assumptions!$C$19</f>
        <v>0.10753511358709</v>
      </c>
      <c r="O16" s="39" t="n">
        <f aca="false">L16-N16</f>
        <v>0.609365643660176</v>
      </c>
      <c r="P16" s="39" t="n">
        <f aca="false">0</f>
        <v>0</v>
      </c>
      <c r="Q16" s="39" t="n">
        <f aca="false">Q15*(1-Assumptions!$C$20)+O16-P16</f>
        <v>4.96573879950799</v>
      </c>
      <c r="R16" s="39" t="n">
        <f aca="false">R15*(1-Assumptions!$C$22)+P16*(1-Assumptions!$C$21)</f>
        <v>0</v>
      </c>
      <c r="S16" s="39" t="n">
        <f aca="false">Q16+R16</f>
        <v>4.96573879950799</v>
      </c>
      <c r="T16" s="39" t="n">
        <f aca="false">T15*(1-Assumptions!$C$24)+M16*Assumptions!$C$23</f>
        <v>0.421947147543057</v>
      </c>
      <c r="U16" s="39" t="n">
        <f aca="false">U15*(1-Assumptions!$C$25)+K16</f>
        <v>0</v>
      </c>
      <c r="V16" s="39" t="n">
        <f aca="false">V15+M16</f>
        <v>2.7379863058769</v>
      </c>
      <c r="W16" s="39" t="n">
        <f aca="false">N16+Q15*Assumptions!$C$20+P16*Assumptions!$C$21+R15*Assumptions!$C$22+T15*Assumptions!$C$24+U15*Assumptions!$C$25</f>
        <v>0.219451231464798</v>
      </c>
      <c r="X16" s="39" t="n">
        <f aca="false">IF(A16&lt;Assumptions!$C$34,0,Assumptions!$C$36*MIN(1,(A16-Assumptions!$C$34+1)/Assumptions!$C$35))*(S16+T16)</f>
        <v>0.419042240326193</v>
      </c>
      <c r="Y16" s="37" t="n">
        <f aca="false">IF(Y15&gt;0,Y15,IF(AND(A16&gt;=Assumptions!$C$41,Q15+R15+T15&gt;=Assumptions!$C$40),A16,0))</f>
        <v>0</v>
      </c>
      <c r="Z16" s="39" t="n">
        <f aca="false">IF(Y16&gt;0,Assumptions!$C$42*MIN(1,(A16-Y16+1)/Assumptions!$C$43),0)*(S16+T16)</f>
        <v>0</v>
      </c>
      <c r="AA16" s="41" t="n">
        <f aca="false">(1+Assumptions!$C$32)^(C16-1)</f>
        <v>1</v>
      </c>
      <c r="AB16" s="42" t="n">
        <f aca="false">O16*Assumptions!$C$27*AA16</f>
        <v>60.3271987223574</v>
      </c>
      <c r="AC16" s="42" t="n">
        <f aca="false">(Q15+R15)*Assumptions!$C$28*AA16</f>
        <v>440.082594315239</v>
      </c>
      <c r="AD16" s="42" t="n">
        <f aca="false">M16*Assumptions!$C$29*AA16</f>
        <v>153.314347657022</v>
      </c>
      <c r="AE16" s="42" t="n">
        <f aca="false">T15*Assumptions!$C$30*AA16</f>
        <v>30.2972153036156</v>
      </c>
      <c r="AF16" s="42" t="n">
        <f aca="false">U15*Assumptions!$C$31*AA16</f>
        <v>0</v>
      </c>
      <c r="AG16" s="42" t="n">
        <f aca="false">X16*Assumptions!$C$37*Assumptions!$C$38</f>
        <v>20.9521120163096</v>
      </c>
      <c r="AH16" s="42" t="n">
        <f aca="false">Z16*Assumptions!$C$44*Assumptions!$C$45</f>
        <v>0</v>
      </c>
      <c r="AI16" s="42" t="n">
        <f aca="false">SUM(AB16:AH16)</f>
        <v>704.973468014544</v>
      </c>
      <c r="AJ16" s="42" t="n">
        <f aca="false">(S16*Assumptions!$C$28+T16*Assumptions!$C$30+U16*Assumptions!$C$31)*AA16+AG16+AH16</f>
        <v>545.894077823503</v>
      </c>
      <c r="AK16" s="42" t="n">
        <f aca="false">(AI16-AH16)*Assumptions!$C$49</f>
        <v>28.1989387205818</v>
      </c>
      <c r="AL16" s="42" t="n">
        <f aca="false">(AC16+AE16+AF16)*Assumptions!$C$50</f>
        <v>3.29265866733198</v>
      </c>
      <c r="AM16" s="42" t="n">
        <f aca="false">S16*Assumptions!$C$51+M16*Assumptions!$C$52</f>
        <v>10.815821224546</v>
      </c>
      <c r="AN16" s="42" t="n">
        <f aca="false">Assumptions!$C$53+Assumptions!$C$54*(S16+T16+U16)</f>
        <v>221.550743788204</v>
      </c>
      <c r="AO16" s="42" t="n">
        <f aca="false">IF(C16&gt;=2,Assumptions!$C$55,0)</f>
        <v>0</v>
      </c>
      <c r="AP16" s="39" t="n">
        <f aca="false">E16*Assumptions!$C$60/60+F16*Assumptions!$C$61+J16*Assumptions!$C$62+(S16+T16)*Assumptions!$C$63+X16*Assumptions!$C$64+Z16*Assumptions!$C$65+U16*Assumptions!$C$66+Assumptions!$C$67*52/12</f>
        <v>51.1430337380321</v>
      </c>
      <c r="AQ16" s="39" t="n">
        <f aca="false">IF(BC15=1,Assumptions!$C$69,Assumptions!$C$68)*52/12</f>
        <v>78</v>
      </c>
      <c r="AR16" s="39" t="n">
        <f aca="false">MAX(0,AP16-AQ16)</f>
        <v>0</v>
      </c>
      <c r="AS16" s="42" t="n">
        <f aca="false">AR16*Assumptions!$C$70*Assumptions!$C$71</f>
        <v>0</v>
      </c>
      <c r="AT16" s="42" t="n">
        <f aca="false">Assumptions!$C$56/12</f>
        <v>100</v>
      </c>
      <c r="AU16" s="42" t="n">
        <f aca="false">IF(A16=1,Assumptions!$C$57,0)+Assumptions!$C$58</f>
        <v>60</v>
      </c>
      <c r="AV16" s="42" t="n">
        <f aca="false">IF(AND(Y16&gt;0,Y16=A16),Assumptions!$C$46,0)+IF(Y16&gt;0,Assumptions!$C$47,0)</f>
        <v>0</v>
      </c>
      <c r="AW16" s="42" t="n">
        <f aca="false">AK16+AL16+AM16+AN16+AO16+AS16+AT16+AU16+AV16</f>
        <v>423.858162400664</v>
      </c>
      <c r="AX16" s="42" t="n">
        <f aca="false">AI16-AW16</f>
        <v>281.11530561388</v>
      </c>
      <c r="AY16" s="42" t="n">
        <f aca="false">MAX(0,AX16)*Assumptions!$C$73</f>
        <v>84.334591684164</v>
      </c>
      <c r="AZ16" s="42" t="n">
        <f aca="false">AX16-AY16</f>
        <v>196.780713929716</v>
      </c>
      <c r="BA16" s="42" t="n">
        <f aca="false">BA15+AZ16</f>
        <v>-826.015447025431</v>
      </c>
      <c r="BB16" s="37" t="n">
        <f aca="false">IF(AZ16&gt;=Assumptions!$C$74/12,BB15+1,0)</f>
        <v>0</v>
      </c>
      <c r="BC16" s="37" t="n">
        <f aca="false">IF(OR(BC15=1,BB16&gt;=3),1,0)</f>
        <v>0</v>
      </c>
      <c r="BD16" s="37" t="n">
        <f aca="false">IF(AZ16&gt;=Assumptions!$C$75/12,BD15+1,0)</f>
        <v>0</v>
      </c>
      <c r="BE16" s="39" t="n">
        <f aca="false">AP16*12/52</f>
        <v>11.8022385549305</v>
      </c>
      <c r="BF16" s="39" t="n">
        <f aca="false">AR16*12/52</f>
        <v>0</v>
      </c>
      <c r="BG16" s="37" t="n">
        <f aca="false">IF(AX16&gt;0,A16,999)</f>
        <v>12</v>
      </c>
      <c r="BH16" s="37" t="n">
        <f aca="false">IF(BB16&gt;=3,A16,999)</f>
        <v>999</v>
      </c>
      <c r="BI16" s="37" t="n">
        <f aca="false">IF(BD16&gt;=3,A16,999)</f>
        <v>999</v>
      </c>
    </row>
    <row r="17" customFormat="false" ht="15" hidden="false" customHeight="false" outlineLevel="0" collapsed="false">
      <c r="A17" s="31" t="n">
        <v>13</v>
      </c>
      <c r="B17" s="32" t="n">
        <f aca="false">DATE(2026,10+A17,1)</f>
        <v>46692</v>
      </c>
      <c r="C17" s="31" t="n">
        <f aca="false">INT((A17-1)/12)+1</f>
        <v>2</v>
      </c>
      <c r="D17" s="31" t="n">
        <f aca="false">IF(C17=1,Assumptions!$C$7,IF(C17=2,Assumptions!$C$8,Assumptions!$C$9))</f>
        <v>12</v>
      </c>
      <c r="E17" s="31" t="n">
        <f aca="false">D17*Assumptions!$C$10</f>
        <v>240</v>
      </c>
      <c r="F17" s="33" t="n">
        <f aca="false">E17*Assumptions!$C$11</f>
        <v>12</v>
      </c>
      <c r="G17" s="34" t="n">
        <f aca="false">MIN(1,Assumptions!$C$13+(1-Assumptions!$C$13)*(A17-1)/Assumptions!$C$14)</f>
        <v>1</v>
      </c>
      <c r="H17" s="33" t="n">
        <f aca="false">F17*Assumptions!$C$12*G17</f>
        <v>1.2</v>
      </c>
      <c r="I17" s="33" t="n">
        <f aca="false">Assumptions!$C$15*(Q16+R16+T16+U16)</f>
        <v>0.0269384297352553</v>
      </c>
      <c r="J17" s="33" t="n">
        <f aca="false">H17+I17</f>
        <v>1.22693842973526</v>
      </c>
      <c r="K17" s="33" t="n">
        <f aca="false">J17*Assumptions!$C$18</f>
        <v>0</v>
      </c>
      <c r="L17" s="33" t="n">
        <f aca="false">(J17-K17)*Assumptions!$C$17</f>
        <v>0.858856900814679</v>
      </c>
      <c r="M17" s="33" t="n">
        <f aca="false">J17-K17-L17</f>
        <v>0.368081528920577</v>
      </c>
      <c r="N17" s="33" t="n">
        <f aca="false">L17*Assumptions!$C$19</f>
        <v>0.128828535122202</v>
      </c>
      <c r="O17" s="33" t="n">
        <f aca="false">L17-N17</f>
        <v>0.730028365692477</v>
      </c>
      <c r="P17" s="33" t="n">
        <f aca="false">O5*(1-Assumptions!$C$20)^12</f>
        <v>0.186762580248882</v>
      </c>
      <c r="Q17" s="33" t="n">
        <f aca="false">Q16*(1-Assumptions!$C$20)+O17-P17</f>
        <v>5.40968980896143</v>
      </c>
      <c r="R17" s="33" t="n">
        <f aca="false">R16*(1-Assumptions!$C$22)+P17*(1-Assumptions!$C$21)</f>
        <v>0.130733806174218</v>
      </c>
      <c r="S17" s="33" t="n">
        <f aca="false">Q17+R17</f>
        <v>5.54042361513565</v>
      </c>
      <c r="T17" s="33" t="n">
        <f aca="false">T16*(1-Assumptions!$C$24)+M17*Assumptions!$C$23</f>
        <v>0.470246624474589</v>
      </c>
      <c r="U17" s="33" t="n">
        <f aca="false">U16*(1-Assumptions!$C$25)+K17</f>
        <v>0</v>
      </c>
      <c r="V17" s="33" t="n">
        <f aca="false">V16+M17</f>
        <v>3.10606783479747</v>
      </c>
      <c r="W17" s="33" t="n">
        <f aca="false">N17+Q16*Assumptions!$C$20+P17*Assumptions!$C$21+R16*Assumptions!$C$22+T16*Assumptions!$C$24+U16*Assumptions!$C$25</f>
        <v>0.30948891403961</v>
      </c>
      <c r="X17" s="33" t="n">
        <f aca="false">IF(A17&lt;Assumptions!$C$34,0,Assumptions!$C$36*MIN(1,(A17-Assumptions!$C$34+1)/Assumptions!$C$35))*(S17+T17)</f>
        <v>0.534281799076465</v>
      </c>
      <c r="Y17" s="31" t="n">
        <f aca="false">IF(Y16&gt;0,Y16,IF(AND(A17&gt;=Assumptions!$C$41,Q16+R16+T16&gt;=Assumptions!$C$40),A17,0))</f>
        <v>0</v>
      </c>
      <c r="Z17" s="33" t="n">
        <f aca="false">IF(Y17&gt;0,Assumptions!$C$42*MIN(1,(A17-Y17+1)/Assumptions!$C$43),0)*(S17+T17)</f>
        <v>0</v>
      </c>
      <c r="AA17" s="35" t="n">
        <f aca="false">(1+Assumptions!$C$32)^(C17-1)</f>
        <v>1</v>
      </c>
      <c r="AB17" s="36" t="n">
        <f aca="false">O17*Assumptions!$C$27*AA17</f>
        <v>72.2728082035552</v>
      </c>
      <c r="AC17" s="36" t="n">
        <f aca="false">(Q16+R16)*Assumptions!$C$28*AA17</f>
        <v>491.608141151291</v>
      </c>
      <c r="AD17" s="36" t="n">
        <f aca="false">M17*Assumptions!$C$29*AA17</f>
        <v>183.672682931368</v>
      </c>
      <c r="AE17" s="36" t="n">
        <f aca="false">T16*Assumptions!$C$30*AA17</f>
        <v>33.3338246559015</v>
      </c>
      <c r="AF17" s="36" t="n">
        <f aca="false">U16*Assumptions!$C$31*AA17</f>
        <v>0</v>
      </c>
      <c r="AG17" s="36" t="n">
        <f aca="false">X17*Assumptions!$C$37*Assumptions!$C$38</f>
        <v>26.7140899538233</v>
      </c>
      <c r="AH17" s="36" t="n">
        <f aca="false">Z17*Assumptions!$C$44*Assumptions!$C$45</f>
        <v>0</v>
      </c>
      <c r="AI17" s="36" t="n">
        <f aca="false">SUM(AB17:AH17)</f>
        <v>807.601546895939</v>
      </c>
      <c r="AJ17" s="36" t="n">
        <f aca="false">(S17*Assumptions!$C$28+T17*Assumptions!$C$30+U17*Assumptions!$C$31)*AA17+AG17+AH17</f>
        <v>612.365511185745</v>
      </c>
      <c r="AK17" s="36" t="n">
        <f aca="false">(AI17-AH17)*Assumptions!$C$49</f>
        <v>32.3040618758376</v>
      </c>
      <c r="AL17" s="36" t="n">
        <f aca="false">(AC17+AE17+AF17)*Assumptions!$C$50</f>
        <v>3.67459376065035</v>
      </c>
      <c r="AM17" s="36" t="n">
        <f aca="false">S17*Assumptions!$C$51+M17*Assumptions!$C$52</f>
        <v>12.4467524527282</v>
      </c>
      <c r="AN17" s="36" t="n">
        <f aca="false">Assumptions!$C$53+Assumptions!$C$54*(S17+T17+U17)</f>
        <v>224.042680958441</v>
      </c>
      <c r="AO17" s="36" t="n">
        <f aca="false">IF(C17&gt;=2,Assumptions!$C$55,0)</f>
        <v>100</v>
      </c>
      <c r="AP17" s="33" t="n">
        <f aca="false">E17*Assumptions!$C$60/60+F17*Assumptions!$C$61+J17*Assumptions!$C$62+(S17+T17)*Assumptions!$C$63+X17*Assumptions!$C$64+Z17*Assumptions!$C$65+U17*Assumptions!$C$66+Assumptions!$C$67*52/12</f>
        <v>57.0369118003743</v>
      </c>
      <c r="AQ17" s="33" t="n">
        <f aca="false">IF(BC16=1,Assumptions!$C$69,Assumptions!$C$68)*52/12</f>
        <v>78</v>
      </c>
      <c r="AR17" s="33" t="n">
        <f aca="false">MAX(0,AP17-AQ17)</f>
        <v>0</v>
      </c>
      <c r="AS17" s="36" t="n">
        <f aca="false">AR17*Assumptions!$C$70*Assumptions!$C$71</f>
        <v>0</v>
      </c>
      <c r="AT17" s="36" t="n">
        <f aca="false">Assumptions!$C$56/12</f>
        <v>100</v>
      </c>
      <c r="AU17" s="36" t="n">
        <f aca="false">IF(A17=1,Assumptions!$C$57,0)+Assumptions!$C$58</f>
        <v>60</v>
      </c>
      <c r="AV17" s="36" t="n">
        <f aca="false">IF(AND(Y17&gt;0,Y17=A17),Assumptions!$C$46,0)+IF(Y17&gt;0,Assumptions!$C$47,0)</f>
        <v>0</v>
      </c>
      <c r="AW17" s="36" t="n">
        <f aca="false">AK17+AL17+AM17+AN17+AO17+AS17+AT17+AU17+AV17</f>
        <v>532.468089047657</v>
      </c>
      <c r="AX17" s="36" t="n">
        <f aca="false">AI17-AW17</f>
        <v>275.133457848282</v>
      </c>
      <c r="AY17" s="36" t="n">
        <f aca="false">MAX(0,AX17)*Assumptions!$C$73</f>
        <v>82.5400373544847</v>
      </c>
      <c r="AZ17" s="36" t="n">
        <f aca="false">AX17-AY17</f>
        <v>192.593420493798</v>
      </c>
      <c r="BA17" s="36" t="n">
        <f aca="false">BA16+AZ17</f>
        <v>-633.422026531633</v>
      </c>
      <c r="BB17" s="31" t="n">
        <f aca="false">IF(AZ17&gt;=Assumptions!$C$74/12,BB16+1,0)</f>
        <v>0</v>
      </c>
      <c r="BC17" s="31" t="n">
        <f aca="false">IF(OR(BC16=1,BB17&gt;=3),1,0)</f>
        <v>0</v>
      </c>
      <c r="BD17" s="31" t="n">
        <f aca="false">IF(AZ17&gt;=Assumptions!$C$75/12,BD16+1,0)</f>
        <v>0</v>
      </c>
      <c r="BE17" s="33" t="n">
        <f aca="false">AP17*12/52</f>
        <v>13.1623642616248</v>
      </c>
      <c r="BF17" s="33" t="n">
        <f aca="false">AR17*12/52</f>
        <v>0</v>
      </c>
      <c r="BG17" s="31" t="n">
        <f aca="false">IF(AX17&gt;0,A17,999)</f>
        <v>13</v>
      </c>
      <c r="BH17" s="31" t="n">
        <f aca="false">IF(BB17&gt;=3,A17,999)</f>
        <v>999</v>
      </c>
      <c r="BI17" s="31" t="n">
        <f aca="false">IF(BD17&gt;=3,A17,999)</f>
        <v>999</v>
      </c>
    </row>
    <row r="18" customFormat="false" ht="15" hidden="false" customHeight="false" outlineLevel="0" collapsed="false">
      <c r="A18" s="31" t="n">
        <v>14</v>
      </c>
      <c r="B18" s="32" t="n">
        <f aca="false">DATE(2026,10+A18,1)</f>
        <v>46722</v>
      </c>
      <c r="C18" s="31" t="n">
        <f aca="false">INT((A18-1)/12)+1</f>
        <v>2</v>
      </c>
      <c r="D18" s="31" t="n">
        <f aca="false">IF(C18=1,Assumptions!$C$7,IF(C18=2,Assumptions!$C$8,Assumptions!$C$9))</f>
        <v>12</v>
      </c>
      <c r="E18" s="31" t="n">
        <f aca="false">D18*Assumptions!$C$10</f>
        <v>240</v>
      </c>
      <c r="F18" s="33" t="n">
        <f aca="false">E18*Assumptions!$C$11</f>
        <v>12</v>
      </c>
      <c r="G18" s="34" t="n">
        <f aca="false">MIN(1,Assumptions!$C$13+(1-Assumptions!$C$13)*(A18-1)/Assumptions!$C$14)</f>
        <v>1</v>
      </c>
      <c r="H18" s="33" t="n">
        <f aca="false">F18*Assumptions!$C$12*G18</f>
        <v>1.2</v>
      </c>
      <c r="I18" s="33" t="n">
        <f aca="false">Assumptions!$C$15*(Q17+R17+T17+U17)</f>
        <v>0.0300533511980512</v>
      </c>
      <c r="J18" s="33" t="n">
        <f aca="false">H18+I18</f>
        <v>1.23005335119805</v>
      </c>
      <c r="K18" s="33" t="n">
        <f aca="false">J18*Assumptions!$C$18</f>
        <v>0</v>
      </c>
      <c r="L18" s="33" t="n">
        <f aca="false">(J18-K18)*Assumptions!$C$17</f>
        <v>0.861037345838636</v>
      </c>
      <c r="M18" s="33" t="n">
        <f aca="false">J18-K18-L18</f>
        <v>0.369016005359416</v>
      </c>
      <c r="N18" s="33" t="n">
        <f aca="false">L18*Assumptions!$C$19</f>
        <v>0.129155601875795</v>
      </c>
      <c r="O18" s="33" t="n">
        <f aca="false">L18-N18</f>
        <v>0.73188174396284</v>
      </c>
      <c r="P18" s="33" t="n">
        <f aca="false">O6*(1-Assumptions!$C$20)^12</f>
        <v>0.218501324407345</v>
      </c>
      <c r="Q18" s="33" t="n">
        <f aca="false">Q17*(1-Assumptions!$C$20)+O18-P18</f>
        <v>5.8148764323377</v>
      </c>
      <c r="R18" s="33" t="n">
        <f aca="false">R17*(1-Assumptions!$C$22)+P18*(1-Assumptions!$C$21)</f>
        <v>0.277148042950648</v>
      </c>
      <c r="S18" s="33" t="n">
        <f aca="false">Q18+R18</f>
        <v>6.09202447528834</v>
      </c>
      <c r="T18" s="33" t="n">
        <f aca="false">T17*(1-Assumptions!$C$24)+M18*Assumptions!$C$23</f>
        <v>0.515835028077997</v>
      </c>
      <c r="U18" s="33" t="n">
        <f aca="false">U17*(1-Assumptions!$C$25)+K18</f>
        <v>0</v>
      </c>
      <c r="V18" s="33" t="n">
        <f aca="false">V17+M18</f>
        <v>3.47508384015689</v>
      </c>
      <c r="W18" s="33" t="n">
        <f aca="false">N18+Q17*Assumptions!$C$20+P18*Assumptions!$C$21+R17*Assumptions!$C$22+T17*Assumptions!$C$24+U17*Assumptions!$C$25</f>
        <v>0.337651283154414</v>
      </c>
      <c r="X18" s="33" t="n">
        <f aca="false">IF(A18&lt;Assumptions!$C$34,0,Assumptions!$C$36*MIN(1,(A18-Assumptions!$C$34+1)/Assumptions!$C$35))*(S18+T18)</f>
        <v>0.660785950336634</v>
      </c>
      <c r="Y18" s="31" t="n">
        <f aca="false">IF(Y17&gt;0,Y17,IF(AND(A18&gt;=Assumptions!$C$41,Q17+R17+T17&gt;=Assumptions!$C$40),A18,0))</f>
        <v>0</v>
      </c>
      <c r="Z18" s="33" t="n">
        <f aca="false">IF(Y18&gt;0,Assumptions!$C$42*MIN(1,(A18-Y18+1)/Assumptions!$C$43),0)*(S18+T18)</f>
        <v>0</v>
      </c>
      <c r="AA18" s="35" t="n">
        <f aca="false">(1+Assumptions!$C$32)^(C18-1)</f>
        <v>1</v>
      </c>
      <c r="AB18" s="36" t="n">
        <f aca="false">O18*Assumptions!$C$27*AA18</f>
        <v>72.4562926523212</v>
      </c>
      <c r="AC18" s="36" t="n">
        <f aca="false">(Q17+R17)*Assumptions!$C$28*AA18</f>
        <v>548.501937898429</v>
      </c>
      <c r="AD18" s="36" t="n">
        <f aca="false">M18*Assumptions!$C$29*AA18</f>
        <v>184.138986674348</v>
      </c>
      <c r="AE18" s="36" t="n">
        <f aca="false">T17*Assumptions!$C$30*AA18</f>
        <v>37.1494833334926</v>
      </c>
      <c r="AF18" s="36" t="n">
        <f aca="false">U17*Assumptions!$C$31*AA18</f>
        <v>0</v>
      </c>
      <c r="AG18" s="36" t="n">
        <f aca="false">X18*Assumptions!$C$37*Assumptions!$C$38</f>
        <v>33.0392975168317</v>
      </c>
      <c r="AH18" s="36" t="n">
        <f aca="false">Z18*Assumptions!$C$44*Assumptions!$C$45</f>
        <v>0</v>
      </c>
      <c r="AI18" s="36" t="n">
        <f aca="false">SUM(AB18:AH18)</f>
        <v>875.285998075423</v>
      </c>
      <c r="AJ18" s="36" t="n">
        <f aca="false">(S18*Assumptions!$C$28+T18*Assumptions!$C$30+U18*Assumptions!$C$31)*AA18+AG18+AH18</f>
        <v>676.90068778854</v>
      </c>
      <c r="AK18" s="36" t="n">
        <f aca="false">(AI18-AH18)*Assumptions!$C$49</f>
        <v>35.0114399230169</v>
      </c>
      <c r="AL18" s="36" t="n">
        <f aca="false">(AC18+AE18+AF18)*Assumptions!$C$50</f>
        <v>4.09955994862345</v>
      </c>
      <c r="AM18" s="36" t="n">
        <f aca="false">S18*Assumptions!$C$51+M18*Assumptions!$C$52</f>
        <v>13.1502706745017</v>
      </c>
      <c r="AN18" s="36" t="n">
        <f aca="false">Assumptions!$C$53+Assumptions!$C$54*(S18+T18+U18)</f>
        <v>226.431438013465</v>
      </c>
      <c r="AO18" s="36" t="n">
        <f aca="false">IF(C18&gt;=2,Assumptions!$C$55,0)</f>
        <v>100</v>
      </c>
      <c r="AP18" s="33" t="n">
        <f aca="false">E18*Assumptions!$C$60/60+F18*Assumptions!$C$61+J18*Assumptions!$C$62+(S18+T18)*Assumptions!$C$63+X18*Assumptions!$C$64+Z18*Assumptions!$C$65+U18*Assumptions!$C$66+Assumptions!$C$67*52/12</f>
        <v>58.4303913191651</v>
      </c>
      <c r="AQ18" s="33" t="n">
        <f aca="false">IF(BC17=1,Assumptions!$C$69,Assumptions!$C$68)*52/12</f>
        <v>78</v>
      </c>
      <c r="AR18" s="33" t="n">
        <f aca="false">MAX(0,AP18-AQ18)</f>
        <v>0</v>
      </c>
      <c r="AS18" s="36" t="n">
        <f aca="false">AR18*Assumptions!$C$70*Assumptions!$C$71</f>
        <v>0</v>
      </c>
      <c r="AT18" s="36" t="n">
        <f aca="false">Assumptions!$C$56/12</f>
        <v>100</v>
      </c>
      <c r="AU18" s="36" t="n">
        <f aca="false">IF(A18=1,Assumptions!$C$57,0)+Assumptions!$C$58</f>
        <v>60</v>
      </c>
      <c r="AV18" s="36" t="n">
        <f aca="false">IF(AND(Y18&gt;0,Y18=A18),Assumptions!$C$46,0)+IF(Y18&gt;0,Assumptions!$C$47,0)</f>
        <v>0</v>
      </c>
      <c r="AW18" s="36" t="n">
        <f aca="false">AK18+AL18+AM18+AN18+AO18+AS18+AT18+AU18+AV18</f>
        <v>538.692708559607</v>
      </c>
      <c r="AX18" s="36" t="n">
        <f aca="false">AI18-AW18</f>
        <v>336.593289515815</v>
      </c>
      <c r="AY18" s="36" t="n">
        <f aca="false">MAX(0,AX18)*Assumptions!$C$73</f>
        <v>100.977986854745</v>
      </c>
      <c r="AZ18" s="36" t="n">
        <f aca="false">AX18-AY18</f>
        <v>235.615302661071</v>
      </c>
      <c r="BA18" s="36" t="n">
        <f aca="false">BA17+AZ18</f>
        <v>-397.806723870563</v>
      </c>
      <c r="BB18" s="31" t="n">
        <f aca="false">IF(AZ18&gt;=Assumptions!$C$74/12,BB17+1,0)</f>
        <v>0</v>
      </c>
      <c r="BC18" s="31" t="n">
        <f aca="false">IF(OR(BC17=1,BB18&gt;=3),1,0)</f>
        <v>0</v>
      </c>
      <c r="BD18" s="31" t="n">
        <f aca="false">IF(AZ18&gt;=Assumptions!$C$75/12,BD17+1,0)</f>
        <v>0</v>
      </c>
      <c r="BE18" s="33" t="n">
        <f aca="false">AP18*12/52</f>
        <v>13.4839364582689</v>
      </c>
      <c r="BF18" s="33" t="n">
        <f aca="false">AR18*12/52</f>
        <v>0</v>
      </c>
      <c r="BG18" s="31" t="n">
        <f aca="false">IF(AX18&gt;0,A18,999)</f>
        <v>14</v>
      </c>
      <c r="BH18" s="31" t="n">
        <f aca="false">IF(BB18&gt;=3,A18,999)</f>
        <v>999</v>
      </c>
      <c r="BI18" s="31" t="n">
        <f aca="false">IF(BD18&gt;=3,A18,999)</f>
        <v>999</v>
      </c>
    </row>
    <row r="19" customFormat="false" ht="15" hidden="false" customHeight="false" outlineLevel="0" collapsed="false">
      <c r="A19" s="31" t="n">
        <v>15</v>
      </c>
      <c r="B19" s="32" t="n">
        <f aca="false">DATE(2026,10+A19,1)</f>
        <v>46753</v>
      </c>
      <c r="C19" s="31" t="n">
        <f aca="false">INT((A19-1)/12)+1</f>
        <v>2</v>
      </c>
      <c r="D19" s="31" t="n">
        <f aca="false">IF(C19=1,Assumptions!$C$7,IF(C19=2,Assumptions!$C$8,Assumptions!$C$9))</f>
        <v>12</v>
      </c>
      <c r="E19" s="31" t="n">
        <f aca="false">D19*Assumptions!$C$10</f>
        <v>240</v>
      </c>
      <c r="F19" s="33" t="n">
        <f aca="false">E19*Assumptions!$C$11</f>
        <v>12</v>
      </c>
      <c r="G19" s="34" t="n">
        <f aca="false">MIN(1,Assumptions!$C$13+(1-Assumptions!$C$13)*(A19-1)/Assumptions!$C$14)</f>
        <v>1</v>
      </c>
      <c r="H19" s="33" t="n">
        <f aca="false">F19*Assumptions!$C$12*G19</f>
        <v>1.2</v>
      </c>
      <c r="I19" s="33" t="n">
        <f aca="false">Assumptions!$C$15*(Q18+R18+T18+U18)</f>
        <v>0.0330392975168317</v>
      </c>
      <c r="J19" s="33" t="n">
        <f aca="false">H19+I19</f>
        <v>1.23303929751683</v>
      </c>
      <c r="K19" s="33" t="n">
        <f aca="false">J19*Assumptions!$C$18</f>
        <v>0</v>
      </c>
      <c r="L19" s="33" t="n">
        <f aca="false">(J19-K19)*Assumptions!$C$17</f>
        <v>0.863127508261782</v>
      </c>
      <c r="M19" s="33" t="n">
        <f aca="false">J19-K19-L19</f>
        <v>0.36991178925505</v>
      </c>
      <c r="N19" s="33" t="n">
        <f aca="false">L19*Assumptions!$C$19</f>
        <v>0.129469126239267</v>
      </c>
      <c r="O19" s="33" t="n">
        <f aca="false">L19-N19</f>
        <v>0.733658382022515</v>
      </c>
      <c r="P19" s="33" t="n">
        <f aca="false">O7*(1-Assumptions!$C$20)^12</f>
        <v>0.250329538852956</v>
      </c>
      <c r="Q19" s="33" t="n">
        <f aca="false">Q18*(1-Assumptions!$C$20)+O19-P19</f>
        <v>6.1819077468605</v>
      </c>
      <c r="R19" s="33" t="n">
        <f aca="false">R18*(1-Assumptions!$C$22)+P19*(1-Assumptions!$C$21)</f>
        <v>0.438521318000185</v>
      </c>
      <c r="S19" s="33" t="n">
        <f aca="false">Q19+R19</f>
        <v>6.62042906486069</v>
      </c>
      <c r="T19" s="33" t="n">
        <f aca="false">T18*(1-Assumptions!$C$24)+M19*Assumptions!$C$23</f>
        <v>0.558867284244327</v>
      </c>
      <c r="U19" s="33" t="n">
        <f aca="false">U18*(1-Assumptions!$C$25)+K19</f>
        <v>0</v>
      </c>
      <c r="V19" s="33" t="n">
        <f aca="false">V18+M19</f>
        <v>3.84499562941194</v>
      </c>
      <c r="W19" s="33" t="n">
        <f aca="false">N19+Q18*Assumptions!$C$20+P19*Assumptions!$C$21+R18*Assumptions!$C$22+T18*Assumptions!$C$24+U18*Assumptions!$C$25</f>
        <v>0.36567302037412</v>
      </c>
      <c r="X19" s="33" t="n">
        <f aca="false">IF(A19&lt;Assumptions!$C$34,0,Assumptions!$C$36*MIN(1,(A19-Assumptions!$C$34+1)/Assumptions!$C$35))*(S19+T19)</f>
        <v>0.717929634910501</v>
      </c>
      <c r="Y19" s="31" t="n">
        <f aca="false">IF(Y18&gt;0,Y18,IF(AND(A19&gt;=Assumptions!$C$41,Q18+R18+T18&gt;=Assumptions!$C$40),A19,0))</f>
        <v>0</v>
      </c>
      <c r="Z19" s="33" t="n">
        <f aca="false">IF(Y19&gt;0,Assumptions!$C$42*MIN(1,(A19-Y19+1)/Assumptions!$C$43),0)*(S19+T19)</f>
        <v>0</v>
      </c>
      <c r="AA19" s="35" t="n">
        <f aca="false">(1+Assumptions!$C$32)^(C19-1)</f>
        <v>1</v>
      </c>
      <c r="AB19" s="36" t="n">
        <f aca="false">O19*Assumptions!$C$27*AA19</f>
        <v>72.632179820229</v>
      </c>
      <c r="AC19" s="36" t="n">
        <f aca="false">(Q18+R18)*Assumptions!$C$28*AA19</f>
        <v>603.110423053546</v>
      </c>
      <c r="AD19" s="36" t="n">
        <f aca="false">M19*Assumptions!$C$29*AA19</f>
        <v>184.58598283827</v>
      </c>
      <c r="AE19" s="36" t="n">
        <f aca="false">T18*Assumptions!$C$30*AA19</f>
        <v>40.7509672181618</v>
      </c>
      <c r="AF19" s="36" t="n">
        <f aca="false">U18*Assumptions!$C$31*AA19</f>
        <v>0</v>
      </c>
      <c r="AG19" s="36" t="n">
        <f aca="false">X19*Assumptions!$C$37*Assumptions!$C$38</f>
        <v>35.8964817455251</v>
      </c>
      <c r="AH19" s="36" t="n">
        <f aca="false">Z19*Assumptions!$C$44*Assumptions!$C$45</f>
        <v>0</v>
      </c>
      <c r="AI19" s="36" t="n">
        <f aca="false">SUM(AB19:AH19)</f>
        <v>936.976034675732</v>
      </c>
      <c r="AJ19" s="36" t="n">
        <f aca="false">(S19*Assumptions!$C$28+T19*Assumptions!$C$30+U19*Assumptions!$C$31)*AA19+AG19+AH19</f>
        <v>735.469474622035</v>
      </c>
      <c r="AK19" s="36" t="n">
        <f aca="false">(AI19-AH19)*Assumptions!$C$49</f>
        <v>37.4790413870293</v>
      </c>
      <c r="AL19" s="36" t="n">
        <f aca="false">(AC19+AE19+AF19)*Assumptions!$C$50</f>
        <v>4.50702973190196</v>
      </c>
      <c r="AM19" s="36" t="n">
        <f aca="false">S19*Assumptions!$C$51+M19*Assumptions!$C$52</f>
        <v>13.8242131699016</v>
      </c>
      <c r="AN19" s="36" t="n">
        <f aca="false">Assumptions!$C$53+Assumptions!$C$54*(S19+T19+U19)</f>
        <v>228.71718539642</v>
      </c>
      <c r="AO19" s="36" t="n">
        <f aca="false">IF(C19&gt;=2,Assumptions!$C$55,0)</f>
        <v>100</v>
      </c>
      <c r="AP19" s="33" t="n">
        <f aca="false">E19*Assumptions!$C$60/60+F19*Assumptions!$C$61+J19*Assumptions!$C$62+(S19+T19)*Assumptions!$C$63+X19*Assumptions!$C$64+Z19*Assumptions!$C$65+U19*Assumptions!$C$66+Assumptions!$C$67*52/12</f>
        <v>59.6679383764596</v>
      </c>
      <c r="AQ19" s="33" t="n">
        <f aca="false">IF(BC18=1,Assumptions!$C$69,Assumptions!$C$68)*52/12</f>
        <v>78</v>
      </c>
      <c r="AR19" s="33" t="n">
        <f aca="false">MAX(0,AP19-AQ19)</f>
        <v>0</v>
      </c>
      <c r="AS19" s="36" t="n">
        <f aca="false">AR19*Assumptions!$C$70*Assumptions!$C$71</f>
        <v>0</v>
      </c>
      <c r="AT19" s="36" t="n">
        <f aca="false">Assumptions!$C$56/12</f>
        <v>100</v>
      </c>
      <c r="AU19" s="36" t="n">
        <f aca="false">IF(A19=1,Assumptions!$C$57,0)+Assumptions!$C$58</f>
        <v>60</v>
      </c>
      <c r="AV19" s="36" t="n">
        <f aca="false">IF(AND(Y19&gt;0,Y19=A19),Assumptions!$C$46,0)+IF(Y19&gt;0,Assumptions!$C$47,0)</f>
        <v>0</v>
      </c>
      <c r="AW19" s="36" t="n">
        <f aca="false">AK19+AL19+AM19+AN19+AO19+AS19+AT19+AU19+AV19</f>
        <v>544.527469685253</v>
      </c>
      <c r="AX19" s="36" t="n">
        <f aca="false">AI19-AW19</f>
        <v>392.448564990479</v>
      </c>
      <c r="AY19" s="36" t="n">
        <f aca="false">MAX(0,AX19)*Assumptions!$C$73</f>
        <v>117.734569497144</v>
      </c>
      <c r="AZ19" s="36" t="n">
        <f aca="false">AX19-AY19</f>
        <v>274.713995493335</v>
      </c>
      <c r="BA19" s="36" t="n">
        <f aca="false">BA18+AZ19</f>
        <v>-123.092728377227</v>
      </c>
      <c r="BB19" s="31" t="n">
        <f aca="false">IF(AZ19&gt;=Assumptions!$C$74/12,BB18+1,0)</f>
        <v>0</v>
      </c>
      <c r="BC19" s="31" t="n">
        <f aca="false">IF(OR(BC18=1,BB19&gt;=3),1,0)</f>
        <v>0</v>
      </c>
      <c r="BD19" s="31" t="n">
        <f aca="false">IF(AZ19&gt;=Assumptions!$C$75/12,BD18+1,0)</f>
        <v>0</v>
      </c>
      <c r="BE19" s="33" t="n">
        <f aca="false">AP19*12/52</f>
        <v>13.7695242407214</v>
      </c>
      <c r="BF19" s="33" t="n">
        <f aca="false">AR19*12/52</f>
        <v>0</v>
      </c>
      <c r="BG19" s="31" t="n">
        <f aca="false">IF(AX19&gt;0,A19,999)</f>
        <v>15</v>
      </c>
      <c r="BH19" s="31" t="n">
        <f aca="false">IF(BB19&gt;=3,A19,999)</f>
        <v>999</v>
      </c>
      <c r="BI19" s="31" t="n">
        <f aca="false">IF(BD19&gt;=3,A19,999)</f>
        <v>999</v>
      </c>
    </row>
    <row r="20" customFormat="false" ht="15" hidden="false" customHeight="false" outlineLevel="0" collapsed="false">
      <c r="A20" s="31" t="n">
        <v>16</v>
      </c>
      <c r="B20" s="32" t="n">
        <f aca="false">DATE(2026,10+A20,1)</f>
        <v>46784</v>
      </c>
      <c r="C20" s="31" t="n">
        <f aca="false">INT((A20-1)/12)+1</f>
        <v>2</v>
      </c>
      <c r="D20" s="31" t="n">
        <f aca="false">IF(C20=1,Assumptions!$C$7,IF(C20=2,Assumptions!$C$8,Assumptions!$C$9))</f>
        <v>12</v>
      </c>
      <c r="E20" s="31" t="n">
        <f aca="false">D20*Assumptions!$C$10</f>
        <v>240</v>
      </c>
      <c r="F20" s="33" t="n">
        <f aca="false">E20*Assumptions!$C$11</f>
        <v>12</v>
      </c>
      <c r="G20" s="34" t="n">
        <f aca="false">MIN(1,Assumptions!$C$13+(1-Assumptions!$C$13)*(A20-1)/Assumptions!$C$14)</f>
        <v>1</v>
      </c>
      <c r="H20" s="33" t="n">
        <f aca="false">F20*Assumptions!$C$12*G20</f>
        <v>1.2</v>
      </c>
      <c r="I20" s="33" t="n">
        <f aca="false">Assumptions!$C$15*(Q19+R19+T19+U19)</f>
        <v>0.0358964817455251</v>
      </c>
      <c r="J20" s="33" t="n">
        <f aca="false">H20+I20</f>
        <v>1.23589648174553</v>
      </c>
      <c r="K20" s="33" t="n">
        <f aca="false">J20*Assumptions!$C$18</f>
        <v>0</v>
      </c>
      <c r="L20" s="33" t="n">
        <f aca="false">(J20-K20)*Assumptions!$C$17</f>
        <v>0.865127537221868</v>
      </c>
      <c r="M20" s="33" t="n">
        <f aca="false">J20-K20-L20</f>
        <v>0.370768944523658</v>
      </c>
      <c r="N20" s="33" t="n">
        <f aca="false">L20*Assumptions!$C$19</f>
        <v>0.12976913058328</v>
      </c>
      <c r="O20" s="33" t="n">
        <f aca="false">L20-N20</f>
        <v>0.735358406638587</v>
      </c>
      <c r="P20" s="33" t="n">
        <f aca="false">O8*(1-Assumptions!$C$20)^12</f>
        <v>0.282245480799293</v>
      </c>
      <c r="Q20" s="33" t="n">
        <f aca="false">Q19*(1-Assumptions!$C$20)+O20-P20</f>
        <v>6.51138251776258</v>
      </c>
      <c r="R20" s="33" t="n">
        <f aca="false">R19*(1-Assumptions!$C$22)+P20*(1-Assumptions!$C$21)</f>
        <v>0.614167088659681</v>
      </c>
      <c r="S20" s="33" t="n">
        <f aca="false">Q20+R20</f>
        <v>7.12554960642227</v>
      </c>
      <c r="T20" s="33" t="n">
        <f aca="false">T19*(1-Assumptions!$C$24)+M20*Assumptions!$C$23</f>
        <v>0.599489036094399</v>
      </c>
      <c r="U20" s="33" t="n">
        <f aca="false">U19*(1-Assumptions!$C$25)+K20</f>
        <v>0</v>
      </c>
      <c r="V20" s="33" t="n">
        <f aca="false">V19+M20</f>
        <v>4.2157645739356</v>
      </c>
      <c r="W20" s="33" t="n">
        <f aca="false">N20+Q19*Assumptions!$C$20+P20*Assumptions!$C$21+R19*Assumptions!$C$22+T19*Assumptions!$C$24+U19*Assumptions!$C$25</f>
        <v>0.393539032714947</v>
      </c>
      <c r="X20" s="33" t="n">
        <f aca="false">IF(A20&lt;Assumptions!$C$34,0,Assumptions!$C$36*MIN(1,(A20-Assumptions!$C$34+1)/Assumptions!$C$35))*(S20+T20)</f>
        <v>0.772503864251666</v>
      </c>
      <c r="Y20" s="31" t="n">
        <f aca="false">IF(Y19&gt;0,Y19,IF(AND(A20&gt;=Assumptions!$C$41,Q19+R19+T19&gt;=Assumptions!$C$40),A20,0))</f>
        <v>0</v>
      </c>
      <c r="Z20" s="33" t="n">
        <f aca="false">IF(Y20&gt;0,Assumptions!$C$42*MIN(1,(A20-Y20+1)/Assumptions!$C$43),0)*(S20+T20)</f>
        <v>0</v>
      </c>
      <c r="AA20" s="35" t="n">
        <f aca="false">(1+Assumptions!$C$32)^(C20-1)</f>
        <v>1</v>
      </c>
      <c r="AB20" s="36" t="n">
        <f aca="false">O20*Assumptions!$C$27*AA20</f>
        <v>72.8004822572202</v>
      </c>
      <c r="AC20" s="36" t="n">
        <f aca="false">(Q19+R19)*Assumptions!$C$28*AA20</f>
        <v>655.422477421208</v>
      </c>
      <c r="AD20" s="36" t="n">
        <f aca="false">M20*Assumptions!$C$29*AA20</f>
        <v>185.013703317305</v>
      </c>
      <c r="AE20" s="36" t="n">
        <f aca="false">T19*Assumptions!$C$30*AA20</f>
        <v>44.1505154553018</v>
      </c>
      <c r="AF20" s="36" t="n">
        <f aca="false">U19*Assumptions!$C$31*AA20</f>
        <v>0</v>
      </c>
      <c r="AG20" s="36" t="n">
        <f aca="false">X20*Assumptions!$C$37*Assumptions!$C$38</f>
        <v>38.6251932125833</v>
      </c>
      <c r="AH20" s="36" t="n">
        <f aca="false">Z20*Assumptions!$C$44*Assumptions!$C$45</f>
        <v>0</v>
      </c>
      <c r="AI20" s="36" t="n">
        <f aca="false">SUM(AB20:AH20)</f>
        <v>996.012371663618</v>
      </c>
      <c r="AJ20" s="36" t="n">
        <f aca="false">(S20*Assumptions!$C$28+T20*Assumptions!$C$30+U20*Assumptions!$C$31)*AA20+AG20+AH20</f>
        <v>791.414238099845</v>
      </c>
      <c r="AK20" s="36" t="n">
        <f aca="false">(AI20-AH20)*Assumptions!$C$49</f>
        <v>39.8404948665447</v>
      </c>
      <c r="AL20" s="36" t="n">
        <f aca="false">(AC20+AE20+AF20)*Assumptions!$C$50</f>
        <v>4.89701095013557</v>
      </c>
      <c r="AM20" s="36" t="n">
        <f aca="false">S20*Assumptions!$C$51+M20*Assumptions!$C$52</f>
        <v>14.4684711758827</v>
      </c>
      <c r="AN20" s="36" t="n">
        <f aca="false">Assumptions!$C$53+Assumptions!$C$54*(S20+T20+U20)</f>
        <v>230.900154570067</v>
      </c>
      <c r="AO20" s="36" t="n">
        <f aca="false">IF(C20&gt;=2,Assumptions!$C$55,0)</f>
        <v>100</v>
      </c>
      <c r="AP20" s="33" t="n">
        <f aca="false">E20*Assumptions!$C$60/60+F20*Assumptions!$C$61+J20*Assumptions!$C$62+(S20+T20)*Assumptions!$C$63+X20*Assumptions!$C$64+Z20*Assumptions!$C$65+U20*Assumptions!$C$66+Assumptions!$C$67*52/12</f>
        <v>60.8498558599807</v>
      </c>
      <c r="AQ20" s="33" t="n">
        <f aca="false">IF(BC19=1,Assumptions!$C$69,Assumptions!$C$68)*52/12</f>
        <v>78</v>
      </c>
      <c r="AR20" s="33" t="n">
        <f aca="false">MAX(0,AP20-AQ20)</f>
        <v>0</v>
      </c>
      <c r="AS20" s="36" t="n">
        <f aca="false">AR20*Assumptions!$C$70*Assumptions!$C$71</f>
        <v>0</v>
      </c>
      <c r="AT20" s="36" t="n">
        <f aca="false">Assumptions!$C$56/12</f>
        <v>100</v>
      </c>
      <c r="AU20" s="36" t="n">
        <f aca="false">IF(A20=1,Assumptions!$C$57,0)+Assumptions!$C$58</f>
        <v>60</v>
      </c>
      <c r="AV20" s="36" t="n">
        <f aca="false">IF(AND(Y20&gt;0,Y20=A20),Assumptions!$C$46,0)+IF(Y20&gt;0,Assumptions!$C$47,0)</f>
        <v>0</v>
      </c>
      <c r="AW20" s="36" t="n">
        <f aca="false">AK20+AL20+AM20+AN20+AO20+AS20+AT20+AU20+AV20</f>
        <v>550.10613156263</v>
      </c>
      <c r="AX20" s="36" t="n">
        <f aca="false">AI20-AW20</f>
        <v>445.906240100989</v>
      </c>
      <c r="AY20" s="36" t="n">
        <f aca="false">MAX(0,AX20)*Assumptions!$C$73</f>
        <v>133.771872030297</v>
      </c>
      <c r="AZ20" s="36" t="n">
        <f aca="false">AX20-AY20</f>
        <v>312.134368070692</v>
      </c>
      <c r="BA20" s="36" t="n">
        <f aca="false">BA19+AZ20</f>
        <v>189.041639693465</v>
      </c>
      <c r="BB20" s="31" t="n">
        <f aca="false">IF(AZ20&gt;=Assumptions!$C$74/12,BB19+1,0)</f>
        <v>0</v>
      </c>
      <c r="BC20" s="31" t="n">
        <f aca="false">IF(OR(BC19=1,BB20&gt;=3),1,0)</f>
        <v>0</v>
      </c>
      <c r="BD20" s="31" t="n">
        <f aca="false">IF(AZ20&gt;=Assumptions!$C$75/12,BD19+1,0)</f>
        <v>0</v>
      </c>
      <c r="BE20" s="33" t="n">
        <f aca="false">AP20*12/52</f>
        <v>14.0422744292263</v>
      </c>
      <c r="BF20" s="33" t="n">
        <f aca="false">AR20*12/52</f>
        <v>0</v>
      </c>
      <c r="BG20" s="31" t="n">
        <f aca="false">IF(AX20&gt;0,A20,999)</f>
        <v>16</v>
      </c>
      <c r="BH20" s="31" t="n">
        <f aca="false">IF(BB20&gt;=3,A20,999)</f>
        <v>999</v>
      </c>
      <c r="BI20" s="31" t="n">
        <f aca="false">IF(BD20&gt;=3,A20,999)</f>
        <v>999</v>
      </c>
    </row>
    <row r="21" customFormat="false" ht="15" hidden="false" customHeight="false" outlineLevel="0" collapsed="false">
      <c r="A21" s="31" t="n">
        <v>17</v>
      </c>
      <c r="B21" s="32" t="n">
        <f aca="false">DATE(2026,10+A21,1)</f>
        <v>46813</v>
      </c>
      <c r="C21" s="31" t="n">
        <f aca="false">INT((A21-1)/12)+1</f>
        <v>2</v>
      </c>
      <c r="D21" s="31" t="n">
        <f aca="false">IF(C21=1,Assumptions!$C$7,IF(C21=2,Assumptions!$C$8,Assumptions!$C$9))</f>
        <v>12</v>
      </c>
      <c r="E21" s="31" t="n">
        <f aca="false">D21*Assumptions!$C$10</f>
        <v>240</v>
      </c>
      <c r="F21" s="33" t="n">
        <f aca="false">E21*Assumptions!$C$11</f>
        <v>12</v>
      </c>
      <c r="G21" s="34" t="n">
        <f aca="false">MIN(1,Assumptions!$C$13+(1-Assumptions!$C$13)*(A21-1)/Assumptions!$C$14)</f>
        <v>1</v>
      </c>
      <c r="H21" s="33" t="n">
        <f aca="false">F21*Assumptions!$C$12*G21</f>
        <v>1.2</v>
      </c>
      <c r="I21" s="33" t="n">
        <f aca="false">Assumptions!$C$15*(Q20+R20+T20+U20)</f>
        <v>0.0386251932125833</v>
      </c>
      <c r="J21" s="33" t="n">
        <f aca="false">H21+I21</f>
        <v>1.23862519321258</v>
      </c>
      <c r="K21" s="33" t="n">
        <f aca="false">J21*Assumptions!$C$18</f>
        <v>0</v>
      </c>
      <c r="L21" s="33" t="n">
        <f aca="false">(J21-K21)*Assumptions!$C$17</f>
        <v>0.867037635248809</v>
      </c>
      <c r="M21" s="33" t="n">
        <f aca="false">J21-K21-L21</f>
        <v>0.371587557963775</v>
      </c>
      <c r="N21" s="33" t="n">
        <f aca="false">L21*Assumptions!$C$19</f>
        <v>0.130055645287321</v>
      </c>
      <c r="O21" s="33" t="n">
        <f aca="false">L21-N21</f>
        <v>0.736981989961487</v>
      </c>
      <c r="P21" s="33" t="n">
        <f aca="false">O9*(1-Assumptions!$C$20)^12</f>
        <v>0.314247450318142</v>
      </c>
      <c r="Q21" s="33" t="n">
        <f aca="false">Q20*(1-Assumptions!$C$20)+O21-P21</f>
        <v>6.80388940705068</v>
      </c>
      <c r="R21" s="33" t="n">
        <f aca="false">R20*(1-Assumptions!$C$22)+P21*(1-Assumptions!$C$21)</f>
        <v>0.803431949449396</v>
      </c>
      <c r="S21" s="33" t="n">
        <f aca="false">Q21+R21</f>
        <v>7.60732135650007</v>
      </c>
      <c r="T21" s="33" t="n">
        <f aca="false">T20*(1-Assumptions!$C$24)+M21*Assumptions!$C$23</f>
        <v>0.63783720552149</v>
      </c>
      <c r="U21" s="33" t="n">
        <f aca="false">U20*(1-Assumptions!$C$25)+K21</f>
        <v>0</v>
      </c>
      <c r="V21" s="33" t="n">
        <f aca="false">V20+M21</f>
        <v>4.58735213189937</v>
      </c>
      <c r="W21" s="33" t="n">
        <f aca="false">N21+Q20*Assumptions!$C$20+P21*Assumptions!$C$21+R20*Assumptions!$C$22+T20*Assumptions!$C$24+U20*Assumptions!$C$25</f>
        <v>0.421235227336664</v>
      </c>
      <c r="X21" s="33" t="n">
        <f aca="false">IF(A21&lt;Assumptions!$C$34,0,Assumptions!$C$36*MIN(1,(A21-Assumptions!$C$34+1)/Assumptions!$C$35))*(S21+T21)</f>
        <v>0.824515856202156</v>
      </c>
      <c r="Y21" s="31" t="n">
        <f aca="false">IF(Y20&gt;0,Y20,IF(AND(A21&gt;=Assumptions!$C$41,Q20+R20+T20&gt;=Assumptions!$C$40),A21,0))</f>
        <v>0</v>
      </c>
      <c r="Z21" s="33" t="n">
        <f aca="false">IF(Y21&gt;0,Assumptions!$C$42*MIN(1,(A21-Y21+1)/Assumptions!$C$43),0)*(S21+T21)</f>
        <v>0</v>
      </c>
      <c r="AA21" s="35" t="n">
        <f aca="false">(1+Assumptions!$C$32)^(C21-1)</f>
        <v>1</v>
      </c>
      <c r="AB21" s="36" t="n">
        <f aca="false">O21*Assumptions!$C$27*AA21</f>
        <v>72.9612170061872</v>
      </c>
      <c r="AC21" s="36" t="n">
        <f aca="false">(Q20+R20)*Assumptions!$C$28*AA21</f>
        <v>705.429411035804</v>
      </c>
      <c r="AD21" s="36" t="n">
        <f aca="false">M21*Assumptions!$C$29*AA21</f>
        <v>185.422191423924</v>
      </c>
      <c r="AE21" s="36" t="n">
        <f aca="false">T20*Assumptions!$C$30*AA21</f>
        <v>47.3596338514575</v>
      </c>
      <c r="AF21" s="36" t="n">
        <f aca="false">U20*Assumptions!$C$31*AA21</f>
        <v>0</v>
      </c>
      <c r="AG21" s="36" t="n">
        <f aca="false">X21*Assumptions!$C$37*Assumptions!$C$38</f>
        <v>41.2257928101078</v>
      </c>
      <c r="AH21" s="36" t="n">
        <f aca="false">Z21*Assumptions!$C$44*Assumptions!$C$45</f>
        <v>0</v>
      </c>
      <c r="AI21" s="36" t="n">
        <f aca="false">SUM(AB21:AH21)</f>
        <v>1052.39824612748</v>
      </c>
      <c r="AJ21" s="36" t="n">
        <f aca="false">(S21*Assumptions!$C$28+T21*Assumptions!$C$30+U21*Assumptions!$C$31)*AA21+AG21+AH21</f>
        <v>844.739746339813</v>
      </c>
      <c r="AK21" s="36" t="n">
        <f aca="false">(AI21-AH21)*Assumptions!$C$49</f>
        <v>42.0959298450992</v>
      </c>
      <c r="AL21" s="36" t="n">
        <f aca="false">(AC21+AE21+AF21)*Assumptions!$C$50</f>
        <v>5.26952331421083</v>
      </c>
      <c r="AM21" s="36" t="n">
        <f aca="false">S21*Assumptions!$C$51+M21*Assumptions!$C$52</f>
        <v>15.0829650650817</v>
      </c>
      <c r="AN21" s="36" t="n">
        <f aca="false">Assumptions!$C$53+Assumptions!$C$54*(S21+T21+U21)</f>
        <v>232.980634248086</v>
      </c>
      <c r="AO21" s="36" t="n">
        <f aca="false">IF(C21&gt;=2,Assumptions!$C$55,0)</f>
        <v>100</v>
      </c>
      <c r="AP21" s="33" t="n">
        <f aca="false">E21*Assumptions!$C$60/60+F21*Assumptions!$C$61+J21*Assumptions!$C$62+(S21+T21)*Assumptions!$C$63+X21*Assumptions!$C$64+Z21*Assumptions!$C$65+U21*Assumptions!$C$66+Assumptions!$C$67*52/12</f>
        <v>61.9762998213174</v>
      </c>
      <c r="AQ21" s="33" t="n">
        <f aca="false">IF(BC20=1,Assumptions!$C$69,Assumptions!$C$68)*52/12</f>
        <v>78</v>
      </c>
      <c r="AR21" s="33" t="n">
        <f aca="false">MAX(0,AP21-AQ21)</f>
        <v>0</v>
      </c>
      <c r="AS21" s="36" t="n">
        <f aca="false">AR21*Assumptions!$C$70*Assumptions!$C$71</f>
        <v>0</v>
      </c>
      <c r="AT21" s="36" t="n">
        <f aca="false">Assumptions!$C$56/12</f>
        <v>100</v>
      </c>
      <c r="AU21" s="36" t="n">
        <f aca="false">IF(A21=1,Assumptions!$C$57,0)+Assumptions!$C$58</f>
        <v>60</v>
      </c>
      <c r="AV21" s="36" t="n">
        <f aca="false">IF(AND(Y21&gt;0,Y21=A21),Assumptions!$C$46,0)+IF(Y21&gt;0,Assumptions!$C$47,0)</f>
        <v>0</v>
      </c>
      <c r="AW21" s="36" t="n">
        <f aca="false">AK21+AL21+AM21+AN21+AO21+AS21+AT21+AU21+AV21</f>
        <v>555.429052472478</v>
      </c>
      <c r="AX21" s="36" t="n">
        <f aca="false">AI21-AW21</f>
        <v>496.969193655003</v>
      </c>
      <c r="AY21" s="36" t="n">
        <f aca="false">MAX(0,AX21)*Assumptions!$C$73</f>
        <v>149.090758096501</v>
      </c>
      <c r="AZ21" s="36" t="n">
        <f aca="false">AX21-AY21</f>
        <v>347.878435558502</v>
      </c>
      <c r="BA21" s="36" t="n">
        <f aca="false">BA20+AZ21</f>
        <v>536.920075251966</v>
      </c>
      <c r="BB21" s="31" t="n">
        <f aca="false">IF(AZ21&gt;=Assumptions!$C$74/12,BB20+1,0)</f>
        <v>0</v>
      </c>
      <c r="BC21" s="31" t="n">
        <f aca="false">IF(OR(BC20=1,BB21&gt;=3),1,0)</f>
        <v>0</v>
      </c>
      <c r="BD21" s="31" t="n">
        <f aca="false">IF(AZ21&gt;=Assumptions!$C$75/12,BD20+1,0)</f>
        <v>0</v>
      </c>
      <c r="BE21" s="33" t="n">
        <f aca="false">AP21*12/52</f>
        <v>14.3022230356886</v>
      </c>
      <c r="BF21" s="33" t="n">
        <f aca="false">AR21*12/52</f>
        <v>0</v>
      </c>
      <c r="BG21" s="31" t="n">
        <f aca="false">IF(AX21&gt;0,A21,999)</f>
        <v>17</v>
      </c>
      <c r="BH21" s="31" t="n">
        <f aca="false">IF(BB21&gt;=3,A21,999)</f>
        <v>999</v>
      </c>
      <c r="BI21" s="31" t="n">
        <f aca="false">IF(BD21&gt;=3,A21,999)</f>
        <v>999</v>
      </c>
    </row>
    <row r="22" customFormat="false" ht="15" hidden="false" customHeight="false" outlineLevel="0" collapsed="false">
      <c r="A22" s="31" t="n">
        <v>18</v>
      </c>
      <c r="B22" s="32" t="n">
        <f aca="false">DATE(2026,10+A22,1)</f>
        <v>46844</v>
      </c>
      <c r="C22" s="31" t="n">
        <f aca="false">INT((A22-1)/12)+1</f>
        <v>2</v>
      </c>
      <c r="D22" s="31" t="n">
        <f aca="false">IF(C22=1,Assumptions!$C$7,IF(C22=2,Assumptions!$C$8,Assumptions!$C$9))</f>
        <v>12</v>
      </c>
      <c r="E22" s="31" t="n">
        <f aca="false">D22*Assumptions!$C$10</f>
        <v>240</v>
      </c>
      <c r="F22" s="33" t="n">
        <f aca="false">E22*Assumptions!$C$11</f>
        <v>12</v>
      </c>
      <c r="G22" s="34" t="n">
        <f aca="false">MIN(1,Assumptions!$C$13+(1-Assumptions!$C$13)*(A22-1)/Assumptions!$C$14)</f>
        <v>1</v>
      </c>
      <c r="H22" s="33" t="n">
        <f aca="false">F22*Assumptions!$C$12*G22</f>
        <v>1.2</v>
      </c>
      <c r="I22" s="33" t="n">
        <f aca="false">Assumptions!$C$15*(Q21+R21+T21+U21)</f>
        <v>0.0412257928101078</v>
      </c>
      <c r="J22" s="33" t="n">
        <f aca="false">H22+I22</f>
        <v>1.24122579281011</v>
      </c>
      <c r="K22" s="33" t="n">
        <f aca="false">J22*Assumptions!$C$18</f>
        <v>0</v>
      </c>
      <c r="L22" s="33" t="n">
        <f aca="false">(J22-K22)*Assumptions!$C$17</f>
        <v>0.868858054967076</v>
      </c>
      <c r="M22" s="33" t="n">
        <f aca="false">J22-K22-L22</f>
        <v>0.372367737843032</v>
      </c>
      <c r="N22" s="33" t="n">
        <f aca="false">L22*Assumptions!$C$19</f>
        <v>0.130328708245061</v>
      </c>
      <c r="O22" s="33" t="n">
        <f aca="false">L22-N22</f>
        <v>0.738529346722014</v>
      </c>
      <c r="P22" s="33" t="n">
        <f aca="false">O10*(1-Assumptions!$C$20)^12</f>
        <v>0.346333788821005</v>
      </c>
      <c r="Q22" s="33" t="n">
        <f aca="false">Q21*(1-Assumptions!$C$20)+O22-P22</f>
        <v>7.06000717681067</v>
      </c>
      <c r="R22" s="33" t="n">
        <f aca="false">R21*(1-Assumptions!$C$22)+P22*(1-Assumptions!$C$21)</f>
        <v>1.00569400415163</v>
      </c>
      <c r="S22" s="33" t="n">
        <f aca="false">Q22+R22</f>
        <v>8.0657011809623</v>
      </c>
      <c r="T22" s="33" t="n">
        <f aca="false">T21*(1-Assumptions!$C$24)+M22*Assumptions!$C$23</f>
        <v>0.674040520758807</v>
      </c>
      <c r="U22" s="33" t="n">
        <f aca="false">U21*(1-Assumptions!$C$25)+K22</f>
        <v>0</v>
      </c>
      <c r="V22" s="33" t="n">
        <f aca="false">V21+M22</f>
        <v>4.95971986974241</v>
      </c>
      <c r="W22" s="33" t="n">
        <f aca="false">N22+Q21*Assumptions!$C$20+P22*Assumptions!$C$21+R21*Assumptions!$C$22+T21*Assumptions!$C$24+U21*Assumptions!$C$25</f>
        <v>0.448748462836136</v>
      </c>
      <c r="X22" s="33" t="n">
        <f aca="false">IF(A22&lt;Assumptions!$C$34,0,Assumptions!$C$36*MIN(1,(A22-Assumptions!$C$34+1)/Assumptions!$C$35))*(S22+T22)</f>
        <v>0.873974170172111</v>
      </c>
      <c r="Y22" s="31" t="n">
        <f aca="false">IF(Y21&gt;0,Y21,IF(AND(A22&gt;=Assumptions!$C$41,Q21+R21+T21&gt;=Assumptions!$C$40),A22,0))</f>
        <v>0</v>
      </c>
      <c r="Z22" s="33" t="n">
        <f aca="false">IF(Y22&gt;0,Assumptions!$C$42*MIN(1,(A22-Y22+1)/Assumptions!$C$43),0)*(S22+T22)</f>
        <v>0</v>
      </c>
      <c r="AA22" s="35" t="n">
        <f aca="false">(1+Assumptions!$C$32)^(C22-1)</f>
        <v>1</v>
      </c>
      <c r="AB22" s="36" t="n">
        <f aca="false">O22*Assumptions!$C$27*AA22</f>
        <v>73.1144053254794</v>
      </c>
      <c r="AC22" s="36" t="n">
        <f aca="false">(Q21+R21)*Assumptions!$C$28*AA22</f>
        <v>753.124814293507</v>
      </c>
      <c r="AD22" s="36" t="n">
        <f aca="false">M22*Assumptions!$C$29*AA22</f>
        <v>185.811501183673</v>
      </c>
      <c r="AE22" s="36" t="n">
        <f aca="false">T21*Assumptions!$C$30*AA22</f>
        <v>50.3891392361977</v>
      </c>
      <c r="AF22" s="36" t="n">
        <f aca="false">U21*Assumptions!$C$31*AA22</f>
        <v>0</v>
      </c>
      <c r="AG22" s="36" t="n">
        <f aca="false">X22*Assumptions!$C$37*Assumptions!$C$38</f>
        <v>43.6987085086055</v>
      </c>
      <c r="AH22" s="36" t="n">
        <f aca="false">Z22*Assumptions!$C$44*Assumptions!$C$45</f>
        <v>0</v>
      </c>
      <c r="AI22" s="36" t="n">
        <f aca="false">SUM(AB22:AH22)</f>
        <v>1106.13856854746</v>
      </c>
      <c r="AJ22" s="36" t="n">
        <f aca="false">(S22*Assumptions!$C$28+T22*Assumptions!$C$30+U22*Assumptions!$C$31)*AA22+AG22+AH22</f>
        <v>895.452326563819</v>
      </c>
      <c r="AK22" s="36" t="n">
        <f aca="false">(AI22-AH22)*Assumptions!$C$49</f>
        <v>44.2455427418985</v>
      </c>
      <c r="AL22" s="36" t="n">
        <f aca="false">(AC22+AE22+AF22)*Assumptions!$C$50</f>
        <v>5.62459767470793</v>
      </c>
      <c r="AM22" s="36" t="n">
        <f aca="false">S22*Assumptions!$C$51+M22*Assumptions!$C$52</f>
        <v>15.6676425438484</v>
      </c>
      <c r="AN22" s="36" t="n">
        <f aca="false">Assumptions!$C$53+Assumptions!$C$54*(S22+T22+U22)</f>
        <v>234.958966806884</v>
      </c>
      <c r="AO22" s="36" t="n">
        <f aca="false">IF(C22&gt;=2,Assumptions!$C$55,0)</f>
        <v>100</v>
      </c>
      <c r="AP22" s="33" t="n">
        <f aca="false">E22*Assumptions!$C$60/60+F22*Assumptions!$C$61+J22*Assumptions!$C$62+(S22+T22)*Assumptions!$C$63+X22*Assumptions!$C$64+Z22*Assumptions!$C$65+U22*Assumptions!$C$66+Assumptions!$C$67*52/12</f>
        <v>63.047455370464</v>
      </c>
      <c r="AQ22" s="33" t="n">
        <f aca="false">IF(BC21=1,Assumptions!$C$69,Assumptions!$C$68)*52/12</f>
        <v>78</v>
      </c>
      <c r="AR22" s="33" t="n">
        <f aca="false">MAX(0,AP22-AQ22)</f>
        <v>0</v>
      </c>
      <c r="AS22" s="36" t="n">
        <f aca="false">AR22*Assumptions!$C$70*Assumptions!$C$71</f>
        <v>0</v>
      </c>
      <c r="AT22" s="36" t="n">
        <f aca="false">Assumptions!$C$56/12</f>
        <v>100</v>
      </c>
      <c r="AU22" s="36" t="n">
        <f aca="false">IF(A22=1,Assumptions!$C$57,0)+Assumptions!$C$58</f>
        <v>60</v>
      </c>
      <c r="AV22" s="36" t="n">
        <f aca="false">IF(AND(Y22&gt;0,Y22=A22),Assumptions!$C$46,0)+IF(Y22&gt;0,Assumptions!$C$47,0)</f>
        <v>0</v>
      </c>
      <c r="AW22" s="36" t="n">
        <f aca="false">AK22+AL22+AM22+AN22+AO22+AS22+AT22+AU22+AV22</f>
        <v>560.496749767339</v>
      </c>
      <c r="AX22" s="36" t="n">
        <f aca="false">AI22-AW22</f>
        <v>545.641818780124</v>
      </c>
      <c r="AY22" s="36" t="n">
        <f aca="false">MAX(0,AX22)*Assumptions!$C$73</f>
        <v>163.692545634037</v>
      </c>
      <c r="AZ22" s="36" t="n">
        <f aca="false">AX22-AY22</f>
        <v>381.949273146087</v>
      </c>
      <c r="BA22" s="36" t="n">
        <f aca="false">BA21+AZ22</f>
        <v>918.869348398053</v>
      </c>
      <c r="BB22" s="31" t="n">
        <f aca="false">IF(AZ22&gt;=Assumptions!$C$74/12,BB21+1,0)</f>
        <v>0</v>
      </c>
      <c r="BC22" s="31" t="n">
        <f aca="false">IF(OR(BC21=1,BB22&gt;=3),1,0)</f>
        <v>0</v>
      </c>
      <c r="BD22" s="31" t="n">
        <f aca="false">IF(AZ22&gt;=Assumptions!$C$75/12,BD21+1,0)</f>
        <v>0</v>
      </c>
      <c r="BE22" s="33" t="n">
        <f aca="false">AP22*12/52</f>
        <v>14.5494127777994</v>
      </c>
      <c r="BF22" s="33" t="n">
        <f aca="false">AR22*12/52</f>
        <v>0</v>
      </c>
      <c r="BG22" s="31" t="n">
        <f aca="false">IF(AX22&gt;0,A22,999)</f>
        <v>18</v>
      </c>
      <c r="BH22" s="31" t="n">
        <f aca="false">IF(BB22&gt;=3,A22,999)</f>
        <v>999</v>
      </c>
      <c r="BI22" s="31" t="n">
        <f aca="false">IF(BD22&gt;=3,A22,999)</f>
        <v>999</v>
      </c>
    </row>
    <row r="23" customFormat="false" ht="15" hidden="false" customHeight="false" outlineLevel="0" collapsed="false">
      <c r="A23" s="31" t="n">
        <v>19</v>
      </c>
      <c r="B23" s="32" t="n">
        <f aca="false">DATE(2026,10+A23,1)</f>
        <v>46874</v>
      </c>
      <c r="C23" s="31" t="n">
        <f aca="false">INT((A23-1)/12)+1</f>
        <v>2</v>
      </c>
      <c r="D23" s="31" t="n">
        <f aca="false">IF(C23=1,Assumptions!$C$7,IF(C23=2,Assumptions!$C$8,Assumptions!$C$9))</f>
        <v>12</v>
      </c>
      <c r="E23" s="31" t="n">
        <f aca="false">D23*Assumptions!$C$10</f>
        <v>240</v>
      </c>
      <c r="F23" s="33" t="n">
        <f aca="false">E23*Assumptions!$C$11</f>
        <v>12</v>
      </c>
      <c r="G23" s="34" t="n">
        <f aca="false">MIN(1,Assumptions!$C$13+(1-Assumptions!$C$13)*(A23-1)/Assumptions!$C$14)</f>
        <v>1</v>
      </c>
      <c r="H23" s="33" t="n">
        <f aca="false">F23*Assumptions!$C$12*G23</f>
        <v>1.2</v>
      </c>
      <c r="I23" s="33" t="n">
        <f aca="false">Assumptions!$C$15*(Q22+R22+T22+U22)</f>
        <v>0.0436987085086055</v>
      </c>
      <c r="J23" s="33" t="n">
        <f aca="false">H23+I23</f>
        <v>1.24369870850861</v>
      </c>
      <c r="K23" s="33" t="n">
        <f aca="false">J23*Assumptions!$C$18</f>
        <v>0</v>
      </c>
      <c r="L23" s="33" t="n">
        <f aca="false">(J23-K23)*Assumptions!$C$17</f>
        <v>0.870589095956024</v>
      </c>
      <c r="M23" s="33" t="n">
        <f aca="false">J23-K23-L23</f>
        <v>0.373109612552582</v>
      </c>
      <c r="N23" s="33" t="n">
        <f aca="false">L23*Assumptions!$C$19</f>
        <v>0.130588364393404</v>
      </c>
      <c r="O23" s="33" t="n">
        <f aca="false">L23-N23</f>
        <v>0.74000073156262</v>
      </c>
      <c r="P23" s="33" t="n">
        <f aca="false">O11*(1-Assumptions!$C$20)^12</f>
        <v>0.378502877613588</v>
      </c>
      <c r="Q23" s="33" t="n">
        <f aca="false">Q22*(1-Assumptions!$C$20)+O23-P23</f>
        <v>7.28030488722349</v>
      </c>
      <c r="R23" s="33" t="n">
        <f aca="false">R22*(1-Assumptions!$C$22)+P23*(1-Assumptions!$C$21)</f>
        <v>1.22036131827356</v>
      </c>
      <c r="S23" s="33" t="n">
        <f aca="false">Q23+R23</f>
        <v>8.50066620549705</v>
      </c>
      <c r="T23" s="33" t="n">
        <f aca="false">T22*(1-Assumptions!$C$24)+M23*Assumptions!$C$23</f>
        <v>0.708220012023795</v>
      </c>
      <c r="U23" s="33" t="n">
        <f aca="false">U22*(1-Assumptions!$C$25)+K23</f>
        <v>0</v>
      </c>
      <c r="V23" s="33" t="n">
        <f aca="false">V22+M23</f>
        <v>5.33282948229499</v>
      </c>
      <c r="W23" s="33" t="n">
        <f aca="false">N23+Q22*Assumptions!$C$20+P23*Assumptions!$C$21+R22*Assumptions!$C$22+T22*Assumptions!$C$24+U22*Assumptions!$C$25</f>
        <v>0.476066502666803</v>
      </c>
      <c r="X23" s="33" t="n">
        <f aca="false">IF(A23&lt;Assumptions!$C$34,0,Assumptions!$C$36*MIN(1,(A23-Assumptions!$C$34+1)/Assumptions!$C$35))*(S23+T23)</f>
        <v>0.920888621752085</v>
      </c>
      <c r="Y23" s="31" t="n">
        <f aca="false">IF(Y22&gt;0,Y22,IF(AND(A23&gt;=Assumptions!$C$41,Q22+R22+T22&gt;=Assumptions!$C$40),A23,0))</f>
        <v>0</v>
      </c>
      <c r="Z23" s="33" t="n">
        <f aca="false">IF(Y23&gt;0,Assumptions!$C$42*MIN(1,(A23-Y23+1)/Assumptions!$C$43),0)*(S23+T23)</f>
        <v>0</v>
      </c>
      <c r="AA23" s="35" t="n">
        <f aca="false">(1+Assumptions!$C$32)^(C23-1)</f>
        <v>1</v>
      </c>
      <c r="AB23" s="36" t="n">
        <f aca="false">O23*Assumptions!$C$27*AA23</f>
        <v>73.2600724246994</v>
      </c>
      <c r="AC23" s="36" t="n">
        <f aca="false">(Q22+R22)*Assumptions!$C$28*AA23</f>
        <v>798.504416915268</v>
      </c>
      <c r="AD23" s="36" t="n">
        <f aca="false">M23*Assumptions!$C$29*AA23</f>
        <v>186.181696663738</v>
      </c>
      <c r="AE23" s="36" t="n">
        <f aca="false">T22*Assumptions!$C$30*AA23</f>
        <v>53.2492011399458</v>
      </c>
      <c r="AF23" s="36" t="n">
        <f aca="false">U22*Assumptions!$C$31*AA23</f>
        <v>0</v>
      </c>
      <c r="AG23" s="36" t="n">
        <f aca="false">X23*Assumptions!$C$37*Assumptions!$C$38</f>
        <v>46.0444310876042</v>
      </c>
      <c r="AH23" s="36" t="n">
        <f aca="false">Z23*Assumptions!$C$44*Assumptions!$C$45</f>
        <v>0</v>
      </c>
      <c r="AI23" s="36" t="n">
        <f aca="false">SUM(AB23:AH23)</f>
        <v>1157.23981823126</v>
      </c>
      <c r="AJ23" s="36" t="n">
        <f aca="false">(S23*Assumptions!$C$28+T23*Assumptions!$C$30+U23*Assumptions!$C$31)*AA23+AG23+AH23</f>
        <v>943.559766381692</v>
      </c>
      <c r="AK23" s="36" t="n">
        <f aca="false">(AI23-AH23)*Assumptions!$C$49</f>
        <v>46.2895927292502</v>
      </c>
      <c r="AL23" s="36" t="n">
        <f aca="false">(AC23+AE23+AF23)*Assumptions!$C$50</f>
        <v>5.9622753263865</v>
      </c>
      <c r="AM23" s="36" t="n">
        <f aca="false">S23*Assumptions!$C$51+M23*Assumptions!$C$52</f>
        <v>16.22247694516</v>
      </c>
      <c r="AN23" s="36" t="n">
        <f aca="false">Assumptions!$C$53+Assumptions!$C$54*(S23+T23+U23)</f>
        <v>236.835544870083</v>
      </c>
      <c r="AO23" s="36" t="n">
        <f aca="false">IF(C23&gt;=2,Assumptions!$C$55,0)</f>
        <v>100</v>
      </c>
      <c r="AP23" s="33" t="n">
        <f aca="false">E23*Assumptions!$C$60/60+F23*Assumptions!$C$61+J23*Assumptions!$C$62+(S23+T23)*Assumptions!$C$63+X23*Assumptions!$C$64+Z23*Assumptions!$C$65+U23*Assumptions!$C$66+Assumptions!$C$67*52/12</f>
        <v>64.063534826529</v>
      </c>
      <c r="AQ23" s="33" t="n">
        <f aca="false">IF(BC22=1,Assumptions!$C$69,Assumptions!$C$68)*52/12</f>
        <v>78</v>
      </c>
      <c r="AR23" s="33" t="n">
        <f aca="false">MAX(0,AP23-AQ23)</f>
        <v>0</v>
      </c>
      <c r="AS23" s="36" t="n">
        <f aca="false">AR23*Assumptions!$C$70*Assumptions!$C$71</f>
        <v>0</v>
      </c>
      <c r="AT23" s="36" t="n">
        <f aca="false">Assumptions!$C$56/12</f>
        <v>100</v>
      </c>
      <c r="AU23" s="36" t="n">
        <f aca="false">IF(A23=1,Assumptions!$C$57,0)+Assumptions!$C$58</f>
        <v>60</v>
      </c>
      <c r="AV23" s="36" t="n">
        <f aca="false">IF(AND(Y23&gt;0,Y23=A23),Assumptions!$C$46,0)+IF(Y23&gt;0,Assumptions!$C$47,0)</f>
        <v>0</v>
      </c>
      <c r="AW23" s="36" t="n">
        <f aca="false">AK23+AL23+AM23+AN23+AO23+AS23+AT23+AU23+AV23</f>
        <v>565.30988987088</v>
      </c>
      <c r="AX23" s="36" t="n">
        <f aca="false">AI23-AW23</f>
        <v>591.929928360375</v>
      </c>
      <c r="AY23" s="36" t="n">
        <f aca="false">MAX(0,AX23)*Assumptions!$C$73</f>
        <v>177.578978508113</v>
      </c>
      <c r="AZ23" s="36" t="n">
        <f aca="false">AX23-AY23</f>
        <v>414.350949852263</v>
      </c>
      <c r="BA23" s="36" t="n">
        <f aca="false">BA22+AZ23</f>
        <v>1333.22029825032</v>
      </c>
      <c r="BB23" s="31" t="n">
        <f aca="false">IF(AZ23&gt;=Assumptions!$C$74/12,BB22+1,0)</f>
        <v>0</v>
      </c>
      <c r="BC23" s="31" t="n">
        <f aca="false">IF(OR(BC22=1,BB23&gt;=3),1,0)</f>
        <v>0</v>
      </c>
      <c r="BD23" s="31" t="n">
        <f aca="false">IF(AZ23&gt;=Assumptions!$C$75/12,BD22+1,0)</f>
        <v>0</v>
      </c>
      <c r="BE23" s="33" t="n">
        <f aca="false">AP23*12/52</f>
        <v>14.7838926522759</v>
      </c>
      <c r="BF23" s="33" t="n">
        <f aca="false">AR23*12/52</f>
        <v>0</v>
      </c>
      <c r="BG23" s="31" t="n">
        <f aca="false">IF(AX23&gt;0,A23,999)</f>
        <v>19</v>
      </c>
      <c r="BH23" s="31" t="n">
        <f aca="false">IF(BB23&gt;=3,A23,999)</f>
        <v>999</v>
      </c>
      <c r="BI23" s="31" t="n">
        <f aca="false">IF(BD23&gt;=3,A23,999)</f>
        <v>999</v>
      </c>
    </row>
    <row r="24" customFormat="false" ht="15" hidden="false" customHeight="false" outlineLevel="0" collapsed="false">
      <c r="A24" s="31" t="n">
        <v>20</v>
      </c>
      <c r="B24" s="32" t="n">
        <f aca="false">DATE(2026,10+A24,1)</f>
        <v>46905</v>
      </c>
      <c r="C24" s="31" t="n">
        <f aca="false">INT((A24-1)/12)+1</f>
        <v>2</v>
      </c>
      <c r="D24" s="31" t="n">
        <f aca="false">IF(C24=1,Assumptions!$C$7,IF(C24=2,Assumptions!$C$8,Assumptions!$C$9))</f>
        <v>12</v>
      </c>
      <c r="E24" s="31" t="n">
        <f aca="false">D24*Assumptions!$C$10</f>
        <v>240</v>
      </c>
      <c r="F24" s="33" t="n">
        <f aca="false">E24*Assumptions!$C$11</f>
        <v>12</v>
      </c>
      <c r="G24" s="34" t="n">
        <f aca="false">MIN(1,Assumptions!$C$13+(1-Assumptions!$C$13)*(A24-1)/Assumptions!$C$14)</f>
        <v>1</v>
      </c>
      <c r="H24" s="33" t="n">
        <f aca="false">F24*Assumptions!$C$12*G24</f>
        <v>1.2</v>
      </c>
      <c r="I24" s="33" t="n">
        <f aca="false">Assumptions!$C$15*(Q23+R23+T23+U23)</f>
        <v>0.0460444310876042</v>
      </c>
      <c r="J24" s="33" t="n">
        <f aca="false">H24+I24</f>
        <v>1.2460444310876</v>
      </c>
      <c r="K24" s="33" t="n">
        <f aca="false">J24*Assumptions!$C$18</f>
        <v>0</v>
      </c>
      <c r="L24" s="33" t="n">
        <f aca="false">(J24-K24)*Assumptions!$C$17</f>
        <v>0.872231101761323</v>
      </c>
      <c r="M24" s="33" t="n">
        <f aca="false">J24-K24-L24</f>
        <v>0.373813329326281</v>
      </c>
      <c r="N24" s="33" t="n">
        <f aca="false">L24*Assumptions!$C$19</f>
        <v>0.130834665264198</v>
      </c>
      <c r="O24" s="33" t="n">
        <f aca="false">L24-N24</f>
        <v>0.741396436497125</v>
      </c>
      <c r="P24" s="33" t="n">
        <f aca="false">O12*(1-Assumptions!$C$20)^12</f>
        <v>0.410753136519211</v>
      </c>
      <c r="Q24" s="33" t="n">
        <f aca="false">Q23*(1-Assumptions!$C$20)+O24-P24</f>
        <v>7.46534208945694</v>
      </c>
      <c r="R24" s="33" t="n">
        <f aca="false">R23*(1-Assumptions!$C$22)+P24*(1-Assumptions!$C$21)</f>
        <v>1.44687044792333</v>
      </c>
      <c r="S24" s="33" t="n">
        <f aca="false">Q24+R24</f>
        <v>8.91221253738027</v>
      </c>
      <c r="T24" s="33" t="n">
        <f aca="false">T23*(1-Assumptions!$C$24)+M24*Assumptions!$C$23</f>
        <v>0.740489477167624</v>
      </c>
      <c r="U24" s="33" t="n">
        <f aca="false">U23*(1-Assumptions!$C$25)+K24</f>
        <v>0</v>
      </c>
      <c r="V24" s="33" t="n">
        <f aca="false">V23+M24</f>
        <v>5.70664281162127</v>
      </c>
      <c r="W24" s="33" t="n">
        <f aca="false">N24+Q23*Assumptions!$C$20+P24*Assumptions!$C$21+R23*Assumptions!$C$22+T23*Assumptions!$C$24+U23*Assumptions!$C$25</f>
        <v>0.503177970599537</v>
      </c>
      <c r="X24" s="33" t="n">
        <f aca="false">IF(A24&lt;Assumptions!$C$34,0,Assumptions!$C$36*MIN(1,(A24-Assumptions!$C$34+1)/Assumptions!$C$35))*(S24+T24)</f>
        <v>0.965270201454789</v>
      </c>
      <c r="Y24" s="31" t="n">
        <f aca="false">IF(Y23&gt;0,Y23,IF(AND(A24&gt;=Assumptions!$C$41,Q23+R23+T23&gt;=Assumptions!$C$40),A24,0))</f>
        <v>0</v>
      </c>
      <c r="Z24" s="33" t="n">
        <f aca="false">IF(Y24&gt;0,Assumptions!$C$42*MIN(1,(A24-Y24+1)/Assumptions!$C$43),0)*(S24+T24)</f>
        <v>0</v>
      </c>
      <c r="AA24" s="35" t="n">
        <f aca="false">(1+Assumptions!$C$32)^(C24-1)</f>
        <v>1</v>
      </c>
      <c r="AB24" s="36" t="n">
        <f aca="false">O24*Assumptions!$C$27*AA24</f>
        <v>73.3982472132153</v>
      </c>
      <c r="AC24" s="36" t="n">
        <f aca="false">(Q23+R23)*Assumptions!$C$28*AA24</f>
        <v>841.565954344208</v>
      </c>
      <c r="AD24" s="36" t="n">
        <f aca="false">M24*Assumptions!$C$29*AA24</f>
        <v>186.532851333814</v>
      </c>
      <c r="AE24" s="36" t="n">
        <f aca="false">T23*Assumptions!$C$30*AA24</f>
        <v>55.9493809498798</v>
      </c>
      <c r="AF24" s="36" t="n">
        <f aca="false">U23*Assumptions!$C$31*AA24</f>
        <v>0</v>
      </c>
      <c r="AG24" s="36" t="n">
        <f aca="false">X24*Assumptions!$C$37*Assumptions!$C$38</f>
        <v>48.2635100727394</v>
      </c>
      <c r="AH24" s="36" t="n">
        <f aca="false">Z24*Assumptions!$C$44*Assumptions!$C$45</f>
        <v>0</v>
      </c>
      <c r="AI24" s="36" t="n">
        <f aca="false">SUM(AB24:AH24)</f>
        <v>1205.70994391386</v>
      </c>
      <c r="AJ24" s="36" t="n">
        <f aca="false">(S24*Assumptions!$C$28+T24*Assumptions!$C$30+U24*Assumptions!$C$31)*AA24+AG24+AH24</f>
        <v>989.071219969628</v>
      </c>
      <c r="AK24" s="36" t="n">
        <f aca="false">(AI24-AH24)*Assumptions!$C$49</f>
        <v>48.2283977565543</v>
      </c>
      <c r="AL24" s="36" t="n">
        <f aca="false">(AC24+AE24+AF24)*Assumptions!$C$50</f>
        <v>6.28260734705862</v>
      </c>
      <c r="AM24" s="36" t="n">
        <f aca="false">S24*Assumptions!$C$51+M24*Assumptions!$C$52</f>
        <v>16.7474656116196</v>
      </c>
      <c r="AN24" s="36" t="n">
        <f aca="false">Assumptions!$C$53+Assumptions!$C$54*(S24+T24+U24)</f>
        <v>238.610808058192</v>
      </c>
      <c r="AO24" s="36" t="n">
        <f aca="false">IF(C24&gt;=2,Assumptions!$C$55,0)</f>
        <v>100</v>
      </c>
      <c r="AP24" s="33" t="n">
        <f aca="false">E24*Assumptions!$C$60/60+F24*Assumptions!$C$61+J24*Assumptions!$C$62+(S24+T24)*Assumptions!$C$63+X24*Assumptions!$C$64+Z24*Assumptions!$C$65+U24*Assumptions!$C$66+Assumptions!$C$67*52/12</f>
        <v>65.0247759578741</v>
      </c>
      <c r="AQ24" s="33" t="n">
        <f aca="false">IF(BC23=1,Assumptions!$C$69,Assumptions!$C$68)*52/12</f>
        <v>78</v>
      </c>
      <c r="AR24" s="33" t="n">
        <f aca="false">MAX(0,AP24-AQ24)</f>
        <v>0</v>
      </c>
      <c r="AS24" s="36" t="n">
        <f aca="false">AR24*Assumptions!$C$70*Assumptions!$C$71</f>
        <v>0</v>
      </c>
      <c r="AT24" s="36" t="n">
        <f aca="false">Assumptions!$C$56/12</f>
        <v>100</v>
      </c>
      <c r="AU24" s="36" t="n">
        <f aca="false">IF(A24=1,Assumptions!$C$57,0)+Assumptions!$C$58</f>
        <v>60</v>
      </c>
      <c r="AV24" s="36" t="n">
        <f aca="false">IF(AND(Y24&gt;0,Y24=A24),Assumptions!$C$46,0)+IF(Y24&gt;0,Assumptions!$C$47,0)</f>
        <v>0</v>
      </c>
      <c r="AW24" s="36" t="n">
        <f aca="false">AK24+AL24+AM24+AN24+AO24+AS24+AT24+AU24+AV24</f>
        <v>569.869278773424</v>
      </c>
      <c r="AX24" s="36" t="n">
        <f aca="false">AI24-AW24</f>
        <v>635.840665140433</v>
      </c>
      <c r="AY24" s="36" t="n">
        <f aca="false">MAX(0,AX24)*Assumptions!$C$73</f>
        <v>190.75219954213</v>
      </c>
      <c r="AZ24" s="36" t="n">
        <f aca="false">AX24-AY24</f>
        <v>445.088465598303</v>
      </c>
      <c r="BA24" s="36" t="n">
        <f aca="false">BA23+AZ24</f>
        <v>1778.30876384862</v>
      </c>
      <c r="BB24" s="31" t="n">
        <f aca="false">IF(AZ24&gt;=Assumptions!$C$74/12,BB23+1,0)</f>
        <v>0</v>
      </c>
      <c r="BC24" s="31" t="n">
        <f aca="false">IF(OR(BC23=1,BB24&gt;=3),1,0)</f>
        <v>0</v>
      </c>
      <c r="BD24" s="31" t="n">
        <f aca="false">IF(AZ24&gt;=Assumptions!$C$75/12,BD23+1,0)</f>
        <v>0</v>
      </c>
      <c r="BE24" s="33" t="n">
        <f aca="false">AP24*12/52</f>
        <v>15.0057175287402</v>
      </c>
      <c r="BF24" s="33" t="n">
        <f aca="false">AR24*12/52</f>
        <v>0</v>
      </c>
      <c r="BG24" s="31" t="n">
        <f aca="false">IF(AX24&gt;0,A24,999)</f>
        <v>20</v>
      </c>
      <c r="BH24" s="31" t="n">
        <f aca="false">IF(BB24&gt;=3,A24,999)</f>
        <v>999</v>
      </c>
      <c r="BI24" s="31" t="n">
        <f aca="false">IF(BD24&gt;=3,A24,999)</f>
        <v>999</v>
      </c>
    </row>
    <row r="25" customFormat="false" ht="15" hidden="false" customHeight="false" outlineLevel="0" collapsed="false">
      <c r="A25" s="31" t="n">
        <v>21</v>
      </c>
      <c r="B25" s="32" t="n">
        <f aca="false">DATE(2026,10+A25,1)</f>
        <v>46935</v>
      </c>
      <c r="C25" s="31" t="n">
        <f aca="false">INT((A25-1)/12)+1</f>
        <v>2</v>
      </c>
      <c r="D25" s="31" t="n">
        <f aca="false">IF(C25=1,Assumptions!$C$7,IF(C25=2,Assumptions!$C$8,Assumptions!$C$9))</f>
        <v>12</v>
      </c>
      <c r="E25" s="31" t="n">
        <f aca="false">D25*Assumptions!$C$10</f>
        <v>240</v>
      </c>
      <c r="F25" s="33" t="n">
        <f aca="false">E25*Assumptions!$C$11</f>
        <v>12</v>
      </c>
      <c r="G25" s="34" t="n">
        <f aca="false">MIN(1,Assumptions!$C$13+(1-Assumptions!$C$13)*(A25-1)/Assumptions!$C$14)</f>
        <v>1</v>
      </c>
      <c r="H25" s="33" t="n">
        <f aca="false">F25*Assumptions!$C$12*G25</f>
        <v>1.2</v>
      </c>
      <c r="I25" s="33" t="n">
        <f aca="false">Assumptions!$C$15*(Q24+R24+T24+U24)</f>
        <v>0.0482635100727394</v>
      </c>
      <c r="J25" s="33" t="n">
        <f aca="false">H25+I25</f>
        <v>1.24826351007274</v>
      </c>
      <c r="K25" s="33" t="n">
        <f aca="false">J25*Assumptions!$C$18</f>
        <v>0</v>
      </c>
      <c r="L25" s="33" t="n">
        <f aca="false">(J25-K25)*Assumptions!$C$17</f>
        <v>0.873784457050918</v>
      </c>
      <c r="M25" s="33" t="n">
        <f aca="false">J25-K25-L25</f>
        <v>0.374479053021822</v>
      </c>
      <c r="N25" s="33" t="n">
        <f aca="false">L25*Assumptions!$C$19</f>
        <v>0.131067668557638</v>
      </c>
      <c r="O25" s="33" t="n">
        <f aca="false">L25-N25</f>
        <v>0.74271678849328</v>
      </c>
      <c r="P25" s="33" t="n">
        <f aca="false">O13*(1-Assumptions!$C$20)^12</f>
        <v>0.443083022567333</v>
      </c>
      <c r="Q25" s="33" t="n">
        <f aca="false">Q24*(1-Assumptions!$C$20)+O25-P25</f>
        <v>7.61566901359374</v>
      </c>
      <c r="R25" s="33" t="n">
        <f aca="false">R24*(1-Assumptions!$C$22)+P25*(1-Assumptions!$C$21)</f>
        <v>1.6846850413243</v>
      </c>
      <c r="S25" s="33" t="n">
        <f aca="false">Q25+R25</f>
        <v>9.30035405491804</v>
      </c>
      <c r="T25" s="33" t="n">
        <f aca="false">T24*(1-Assumptions!$C$24)+M25*Assumptions!$C$23</f>
        <v>0.77095591914193</v>
      </c>
      <c r="U25" s="33" t="n">
        <f aca="false">U24*(1-Assumptions!$C$25)+K25</f>
        <v>0</v>
      </c>
      <c r="V25" s="33" t="n">
        <f aca="false">V24+M25</f>
        <v>6.08112186464309</v>
      </c>
      <c r="W25" s="33" t="n">
        <f aca="false">N25+Q24*Assumptions!$C$20+P25*Assumptions!$C$21+R24*Assumptions!$C$22+T24*Assumptions!$C$24+U24*Assumptions!$C$25</f>
        <v>0.5300723081432</v>
      </c>
      <c r="X25" s="33" t="n">
        <f aca="false">IF(A25&lt;Assumptions!$C$34,0,Assumptions!$C$36*MIN(1,(A25-Assumptions!$C$34+1)/Assumptions!$C$35))*(S25+T25)</f>
        <v>1.007130997406</v>
      </c>
      <c r="Y25" s="31" t="n">
        <f aca="false">IF(Y24&gt;0,Y24,IF(AND(A25&gt;=Assumptions!$C$41,Q24+R24+T24&gt;=Assumptions!$C$40),A25,0))</f>
        <v>0</v>
      </c>
      <c r="Z25" s="33" t="n">
        <f aca="false">IF(Y25&gt;0,Assumptions!$C$42*MIN(1,(A25-Y25+1)/Assumptions!$C$43),0)*(S25+T25)</f>
        <v>0</v>
      </c>
      <c r="AA25" s="35" t="n">
        <f aca="false">(1+Assumptions!$C$32)^(C25-1)</f>
        <v>1</v>
      </c>
      <c r="AB25" s="36" t="n">
        <f aca="false">O25*Assumptions!$C$27*AA25</f>
        <v>73.5289620608347</v>
      </c>
      <c r="AC25" s="36" t="n">
        <f aca="false">(Q24+R24)*Assumptions!$C$28*AA25</f>
        <v>882.309041200646</v>
      </c>
      <c r="AD25" s="36" t="n">
        <f aca="false">M25*Assumptions!$C$29*AA25</f>
        <v>186.865047457889</v>
      </c>
      <c r="AE25" s="36" t="n">
        <f aca="false">T24*Assumptions!$C$30*AA25</f>
        <v>58.4986686962423</v>
      </c>
      <c r="AF25" s="36" t="n">
        <f aca="false">U24*Assumptions!$C$31*AA25</f>
        <v>0</v>
      </c>
      <c r="AG25" s="36" t="n">
        <f aca="false">X25*Assumptions!$C$37*Assumptions!$C$38</f>
        <v>50.3565498702998</v>
      </c>
      <c r="AH25" s="36" t="n">
        <f aca="false">Z25*Assumptions!$C$44*Assumptions!$C$45</f>
        <v>0</v>
      </c>
      <c r="AI25" s="36" t="n">
        <f aca="false">SUM(AB25:AH25)</f>
        <v>1251.55826928591</v>
      </c>
      <c r="AJ25" s="36" t="n">
        <f aca="false">(S25*Assumptions!$C$28+T25*Assumptions!$C$30+U25*Assumptions!$C$31)*AA25+AG25+AH25</f>
        <v>1031.9971189194</v>
      </c>
      <c r="AK25" s="36" t="n">
        <f aca="false">(AI25-AH25)*Assumptions!$C$49</f>
        <v>50.0623307714365</v>
      </c>
      <c r="AL25" s="36" t="n">
        <f aca="false">(AC25+AE25+AF25)*Assumptions!$C$50</f>
        <v>6.58565396927822</v>
      </c>
      <c r="AM25" s="36" t="n">
        <f aca="false">S25*Assumptions!$C$51+M25*Assumptions!$C$52</f>
        <v>17.2426283639749</v>
      </c>
      <c r="AN25" s="36" t="n">
        <f aca="false">Assumptions!$C$53+Assumptions!$C$54*(S25+T25+U25)</f>
        <v>240.28523989624</v>
      </c>
      <c r="AO25" s="36" t="n">
        <f aca="false">IF(C25&gt;=2,Assumptions!$C$55,0)</f>
        <v>100</v>
      </c>
      <c r="AP25" s="33" t="n">
        <f aca="false">E25*Assumptions!$C$60/60+F25*Assumptions!$C$61+J25*Assumptions!$C$62+(S25+T25)*Assumptions!$C$63+X25*Assumptions!$C$64+Z25*Assumptions!$C$65+U25*Assumptions!$C$66+Assumptions!$C$67*52/12</f>
        <v>65.9314403077805</v>
      </c>
      <c r="AQ25" s="33" t="n">
        <f aca="false">IF(BC24=1,Assumptions!$C$69,Assumptions!$C$68)*52/12</f>
        <v>78</v>
      </c>
      <c r="AR25" s="33" t="n">
        <f aca="false">MAX(0,AP25-AQ25)</f>
        <v>0</v>
      </c>
      <c r="AS25" s="36" t="n">
        <f aca="false">AR25*Assumptions!$C$70*Assumptions!$C$71</f>
        <v>0</v>
      </c>
      <c r="AT25" s="36" t="n">
        <f aca="false">Assumptions!$C$56/12</f>
        <v>100</v>
      </c>
      <c r="AU25" s="36" t="n">
        <f aca="false">IF(A25=1,Assumptions!$C$57,0)+Assumptions!$C$58</f>
        <v>60</v>
      </c>
      <c r="AV25" s="36" t="n">
        <f aca="false">IF(AND(Y25&gt;0,Y25=A25),Assumptions!$C$46,0)+IF(Y25&gt;0,Assumptions!$C$47,0)</f>
        <v>0</v>
      </c>
      <c r="AW25" s="36" t="n">
        <f aca="false">AK25+AL25+AM25+AN25+AO25+AS25+AT25+AU25+AV25</f>
        <v>574.17585300093</v>
      </c>
      <c r="AX25" s="36" t="n">
        <f aca="false">AI25-AW25</f>
        <v>677.382416284983</v>
      </c>
      <c r="AY25" s="36" t="n">
        <f aca="false">MAX(0,AX25)*Assumptions!$C$73</f>
        <v>203.214724885495</v>
      </c>
      <c r="AZ25" s="36" t="n">
        <f aca="false">AX25-AY25</f>
        <v>474.167691399488</v>
      </c>
      <c r="BA25" s="36" t="n">
        <f aca="false">BA24+AZ25</f>
        <v>2252.47645524811</v>
      </c>
      <c r="BB25" s="31" t="n">
        <f aca="false">IF(AZ25&gt;=Assumptions!$C$74/12,BB24+1,0)</f>
        <v>0</v>
      </c>
      <c r="BC25" s="31" t="n">
        <f aca="false">IF(OR(BC24=1,BB25&gt;=3),1,0)</f>
        <v>0</v>
      </c>
      <c r="BD25" s="31" t="n">
        <f aca="false">IF(AZ25&gt;=Assumptions!$C$75/12,BD24+1,0)</f>
        <v>0</v>
      </c>
      <c r="BE25" s="33" t="n">
        <f aca="false">AP25*12/52</f>
        <v>15.214947763334</v>
      </c>
      <c r="BF25" s="33" t="n">
        <f aca="false">AR25*12/52</f>
        <v>0</v>
      </c>
      <c r="BG25" s="31" t="n">
        <f aca="false">IF(AX25&gt;0,A25,999)</f>
        <v>21</v>
      </c>
      <c r="BH25" s="31" t="n">
        <f aca="false">IF(BB25&gt;=3,A25,999)</f>
        <v>999</v>
      </c>
      <c r="BI25" s="31" t="n">
        <f aca="false">IF(BD25&gt;=3,A25,999)</f>
        <v>999</v>
      </c>
    </row>
    <row r="26" customFormat="false" ht="15" hidden="false" customHeight="false" outlineLevel="0" collapsed="false">
      <c r="A26" s="31" t="n">
        <v>22</v>
      </c>
      <c r="B26" s="32" t="n">
        <f aca="false">DATE(2026,10+A26,1)</f>
        <v>46966</v>
      </c>
      <c r="C26" s="31" t="n">
        <f aca="false">INT((A26-1)/12)+1</f>
        <v>2</v>
      </c>
      <c r="D26" s="31" t="n">
        <f aca="false">IF(C26=1,Assumptions!$C$7,IF(C26=2,Assumptions!$C$8,Assumptions!$C$9))</f>
        <v>12</v>
      </c>
      <c r="E26" s="31" t="n">
        <f aca="false">D26*Assumptions!$C$10</f>
        <v>240</v>
      </c>
      <c r="F26" s="33" t="n">
        <f aca="false">E26*Assumptions!$C$11</f>
        <v>12</v>
      </c>
      <c r="G26" s="34" t="n">
        <f aca="false">MIN(1,Assumptions!$C$13+(1-Assumptions!$C$13)*(A26-1)/Assumptions!$C$14)</f>
        <v>1</v>
      </c>
      <c r="H26" s="33" t="n">
        <f aca="false">F26*Assumptions!$C$12*G26</f>
        <v>1.2</v>
      </c>
      <c r="I26" s="33" t="n">
        <f aca="false">Assumptions!$C$15*(Q25+R25+T25+U25)</f>
        <v>0.0503565498702998</v>
      </c>
      <c r="J26" s="33" t="n">
        <f aca="false">H26+I26</f>
        <v>1.2503565498703</v>
      </c>
      <c r="K26" s="33" t="n">
        <f aca="false">J26*Assumptions!$C$18</f>
        <v>0</v>
      </c>
      <c r="L26" s="33" t="n">
        <f aca="false">(J26-K26)*Assumptions!$C$17</f>
        <v>0.87524958490921</v>
      </c>
      <c r="M26" s="33" t="n">
        <f aca="false">J26-K26-L26</f>
        <v>0.37510696496109</v>
      </c>
      <c r="N26" s="33" t="n">
        <f aca="false">L26*Assumptions!$C$19</f>
        <v>0.131287437736382</v>
      </c>
      <c r="O26" s="33" t="n">
        <f aca="false">L26-N26</f>
        <v>0.743962147172828</v>
      </c>
      <c r="P26" s="33" t="n">
        <f aca="false">O14*(1-Assumptions!$C$20)^12</f>
        <v>0.475491028743576</v>
      </c>
      <c r="Q26" s="33" t="n">
        <f aca="false">Q25*(1-Assumptions!$C$20)+O26-P26</f>
        <v>7.73182675175112</v>
      </c>
      <c r="R26" s="33" t="n">
        <f aca="false">R25*(1-Assumptions!$C$22)+P26*(1-Assumptions!$C$21)</f>
        <v>1.93329450937858</v>
      </c>
      <c r="S26" s="33" t="n">
        <f aca="false">Q26+R26</f>
        <v>9.66512126112971</v>
      </c>
      <c r="T26" s="33" t="n">
        <f aca="false">T25*(1-Assumptions!$C$24)+M26*Assumptions!$C$23</f>
        <v>0.799719956985633</v>
      </c>
      <c r="U26" s="33" t="n">
        <f aca="false">U25*(1-Assumptions!$C$25)+K26</f>
        <v>0</v>
      </c>
      <c r="V26" s="33" t="n">
        <f aca="false">V25+M26</f>
        <v>6.45622882960418</v>
      </c>
      <c r="W26" s="33" t="n">
        <f aca="false">N26+Q25*Assumptions!$C$20+P26*Assumptions!$C$21+R25*Assumptions!$C$22+T25*Assumptions!$C$24+U25*Assumptions!$C$25</f>
        <v>0.55673973384606</v>
      </c>
      <c r="X26" s="33" t="n">
        <f aca="false">IF(A26&lt;Assumptions!$C$34,0,Assumptions!$C$36*MIN(1,(A26-Assumptions!$C$34+1)/Assumptions!$C$35))*(S26+T26)</f>
        <v>1.04648412181153</v>
      </c>
      <c r="Y26" s="31" t="n">
        <f aca="false">IF(Y25&gt;0,Y25,IF(AND(A26&gt;=Assumptions!$C$41,Q25+R25+T25&gt;=Assumptions!$C$40),A26,0))</f>
        <v>0</v>
      </c>
      <c r="Z26" s="33" t="n">
        <f aca="false">IF(Y26&gt;0,Assumptions!$C$42*MIN(1,(A26-Y26+1)/Assumptions!$C$43),0)*(S26+T26)</f>
        <v>0</v>
      </c>
      <c r="AA26" s="35" t="n">
        <f aca="false">(1+Assumptions!$C$32)^(C26-1)</f>
        <v>1</v>
      </c>
      <c r="AB26" s="36" t="n">
        <f aca="false">O26*Assumptions!$C$27*AA26</f>
        <v>73.65225257011</v>
      </c>
      <c r="AC26" s="36" t="n">
        <f aca="false">(Q25+R25)*Assumptions!$C$28*AA26</f>
        <v>920.735051436886</v>
      </c>
      <c r="AD26" s="36" t="n">
        <f aca="false">M26*Assumptions!$C$29*AA26</f>
        <v>187.178375515584</v>
      </c>
      <c r="AE26" s="36" t="n">
        <f aca="false">T25*Assumptions!$C$30*AA26</f>
        <v>60.9055176122125</v>
      </c>
      <c r="AF26" s="36" t="n">
        <f aca="false">U25*Assumptions!$C$31*AA26</f>
        <v>0</v>
      </c>
      <c r="AG26" s="36" t="n">
        <f aca="false">X26*Assumptions!$C$37*Assumptions!$C$38</f>
        <v>52.3242060905767</v>
      </c>
      <c r="AH26" s="36" t="n">
        <f aca="false">Z26*Assumptions!$C$44*Assumptions!$C$45</f>
        <v>0</v>
      </c>
      <c r="AI26" s="36" t="n">
        <f aca="false">SUM(AB26:AH26)</f>
        <v>1294.79540322537</v>
      </c>
      <c r="AJ26" s="36" t="n">
        <f aca="false">(S26*Assumptions!$C$28+T26*Assumptions!$C$30+U26*Assumptions!$C$31)*AA26+AG26+AH26</f>
        <v>1072.34908754428</v>
      </c>
      <c r="AK26" s="36" t="n">
        <f aca="false">(AI26-AH26)*Assumptions!$C$49</f>
        <v>51.7918161290148</v>
      </c>
      <c r="AL26" s="36" t="n">
        <f aca="false">(AC26+AE26+AF26)*Assumptions!$C$50</f>
        <v>6.87148398334369</v>
      </c>
      <c r="AM26" s="36" t="n">
        <f aca="false">S26*Assumptions!$C$51+M26*Assumptions!$C$52</f>
        <v>17.7080060508285</v>
      </c>
      <c r="AN26" s="36" t="n">
        <f aca="false">Assumptions!$C$53+Assumptions!$C$54*(S26+T26+U26)</f>
        <v>241.859364872461</v>
      </c>
      <c r="AO26" s="36" t="n">
        <f aca="false">IF(C26&gt;=2,Assumptions!$C$55,0)</f>
        <v>100</v>
      </c>
      <c r="AP26" s="33" t="n">
        <f aca="false">E26*Assumptions!$C$60/60+F26*Assumptions!$C$61+J26*Assumptions!$C$62+(S26+T26)*Assumptions!$C$63+X26*Assumptions!$C$64+Z26*Assumptions!$C$65+U26*Assumptions!$C$66+Assumptions!$C$67*52/12</f>
        <v>66.7838116018922</v>
      </c>
      <c r="AQ26" s="33" t="n">
        <f aca="false">IF(BC25=1,Assumptions!$C$69,Assumptions!$C$68)*52/12</f>
        <v>78</v>
      </c>
      <c r="AR26" s="33" t="n">
        <f aca="false">MAX(0,AP26-AQ26)</f>
        <v>0</v>
      </c>
      <c r="AS26" s="36" t="n">
        <f aca="false">AR26*Assumptions!$C$70*Assumptions!$C$71</f>
        <v>0</v>
      </c>
      <c r="AT26" s="36" t="n">
        <f aca="false">Assumptions!$C$56/12</f>
        <v>100</v>
      </c>
      <c r="AU26" s="36" t="n">
        <f aca="false">IF(A26=1,Assumptions!$C$57,0)+Assumptions!$C$58</f>
        <v>60</v>
      </c>
      <c r="AV26" s="36" t="n">
        <f aca="false">IF(AND(Y26&gt;0,Y26=A26),Assumptions!$C$46,0)+IF(Y26&gt;0,Assumptions!$C$47,0)</f>
        <v>0</v>
      </c>
      <c r="AW26" s="36" t="n">
        <f aca="false">AK26+AL26+AM26+AN26+AO26+AS26+AT26+AU26+AV26</f>
        <v>578.230671035648</v>
      </c>
      <c r="AX26" s="36" t="n">
        <f aca="false">AI26-AW26</f>
        <v>716.564732189721</v>
      </c>
      <c r="AY26" s="36" t="n">
        <f aca="false">MAX(0,AX26)*Assumptions!$C$73</f>
        <v>214.969419656916</v>
      </c>
      <c r="AZ26" s="36" t="n">
        <f aca="false">AX26-AY26</f>
        <v>501.595312532804</v>
      </c>
      <c r="BA26" s="36" t="n">
        <f aca="false">BA25+AZ26</f>
        <v>2754.07176778091</v>
      </c>
      <c r="BB26" s="31" t="n">
        <f aca="false">IF(AZ26&gt;=Assumptions!$C$74/12,BB25+1,0)</f>
        <v>0</v>
      </c>
      <c r="BC26" s="31" t="n">
        <f aca="false">IF(OR(BC25=1,BB26&gt;=3),1,0)</f>
        <v>0</v>
      </c>
      <c r="BD26" s="31" t="n">
        <f aca="false">IF(AZ26&gt;=Assumptions!$C$75/12,BD25+1,0)</f>
        <v>0</v>
      </c>
      <c r="BE26" s="33" t="n">
        <f aca="false">AP26*12/52</f>
        <v>15.4116488312059</v>
      </c>
      <c r="BF26" s="33" t="n">
        <f aca="false">AR26*12/52</f>
        <v>0</v>
      </c>
      <c r="BG26" s="31" t="n">
        <f aca="false">IF(AX26&gt;0,A26,999)</f>
        <v>22</v>
      </c>
      <c r="BH26" s="31" t="n">
        <f aca="false">IF(BB26&gt;=3,A26,999)</f>
        <v>999</v>
      </c>
      <c r="BI26" s="31" t="n">
        <f aca="false">IF(BD26&gt;=3,A26,999)</f>
        <v>999</v>
      </c>
    </row>
    <row r="27" customFormat="false" ht="15" hidden="false" customHeight="false" outlineLevel="0" collapsed="false">
      <c r="A27" s="31" t="n">
        <v>23</v>
      </c>
      <c r="B27" s="32" t="n">
        <f aca="false">DATE(2026,10+A27,1)</f>
        <v>46997</v>
      </c>
      <c r="C27" s="31" t="n">
        <f aca="false">INT((A27-1)/12)+1</f>
        <v>2</v>
      </c>
      <c r="D27" s="31" t="n">
        <f aca="false">IF(C27=1,Assumptions!$C$7,IF(C27=2,Assumptions!$C$8,Assumptions!$C$9))</f>
        <v>12</v>
      </c>
      <c r="E27" s="31" t="n">
        <f aca="false">D27*Assumptions!$C$10</f>
        <v>240</v>
      </c>
      <c r="F27" s="33" t="n">
        <f aca="false">E27*Assumptions!$C$11</f>
        <v>12</v>
      </c>
      <c r="G27" s="34" t="n">
        <f aca="false">MIN(1,Assumptions!$C$13+(1-Assumptions!$C$13)*(A27-1)/Assumptions!$C$14)</f>
        <v>1</v>
      </c>
      <c r="H27" s="33" t="n">
        <f aca="false">F27*Assumptions!$C$12*G27</f>
        <v>1.2</v>
      </c>
      <c r="I27" s="33" t="n">
        <f aca="false">Assumptions!$C$15*(Q26+R26+T26+U26)</f>
        <v>0.0523242060905767</v>
      </c>
      <c r="J27" s="33" t="n">
        <f aca="false">H27+I27</f>
        <v>1.25232420609058</v>
      </c>
      <c r="K27" s="33" t="n">
        <f aca="false">J27*Assumptions!$C$18</f>
        <v>0</v>
      </c>
      <c r="L27" s="33" t="n">
        <f aca="false">(J27-K27)*Assumptions!$C$17</f>
        <v>0.876626944263404</v>
      </c>
      <c r="M27" s="33" t="n">
        <f aca="false">J27-K27-L27</f>
        <v>0.375697261827173</v>
      </c>
      <c r="N27" s="33" t="n">
        <f aca="false">L27*Assumptions!$C$19</f>
        <v>0.131494041639511</v>
      </c>
      <c r="O27" s="33" t="n">
        <f aca="false">L27-N27</f>
        <v>0.745132902623893</v>
      </c>
      <c r="P27" s="33" t="n">
        <f aca="false">O15*(1-Assumptions!$C$20)^12</f>
        <v>0.476848586089732</v>
      </c>
      <c r="Q27" s="33" t="n">
        <f aca="false">Q26*(1-Assumptions!$C$20)+O27-P27</f>
        <v>7.84547453325026</v>
      </c>
      <c r="R27" s="33" t="n">
        <f aca="false">R26*(1-Assumptions!$C$22)+P27*(1-Assumptions!$C$21)</f>
        <v>2.17042379417247</v>
      </c>
      <c r="S27" s="33" t="n">
        <f aca="false">Q27+R27</f>
        <v>10.0158983274227</v>
      </c>
      <c r="T27" s="33" t="n">
        <f aca="false">T26*(1-Assumptions!$C$24)+M27*Assumptions!$C$23</f>
        <v>0.826876211931929</v>
      </c>
      <c r="U27" s="33" t="n">
        <f aca="false">U26*(1-Assumptions!$C$25)+K27</f>
        <v>0</v>
      </c>
      <c r="V27" s="33" t="n">
        <f aca="false">V26+M27</f>
        <v>6.83192609143135</v>
      </c>
      <c r="W27" s="33" t="n">
        <f aca="false">N27+Q26*Assumptions!$C$20+P27*Assumptions!$C$21+R26*Assumptions!$C$22+T26*Assumptions!$C$24+U26*Assumptions!$C$25</f>
        <v>0.57383307538952</v>
      </c>
      <c r="X27" s="33" t="n">
        <f aca="false">IF(A27&lt;Assumptions!$C$34,0,Assumptions!$C$36*MIN(1,(A27-Assumptions!$C$34+1)/Assumptions!$C$35))*(S27+T27)</f>
        <v>1.08427745393547</v>
      </c>
      <c r="Y27" s="31" t="n">
        <f aca="false">IF(Y26&gt;0,Y26,IF(AND(A27&gt;=Assumptions!$C$41,Q26+R26+T26&gt;=Assumptions!$C$40),A27,0))</f>
        <v>0</v>
      </c>
      <c r="Z27" s="33" t="n">
        <f aca="false">IF(Y27&gt;0,Assumptions!$C$42*MIN(1,(A27-Y27+1)/Assumptions!$C$43),0)*(S27+T27)</f>
        <v>0</v>
      </c>
      <c r="AA27" s="35" t="n">
        <f aca="false">(1+Assumptions!$C$32)^(C27-1)</f>
        <v>1</v>
      </c>
      <c r="AB27" s="36" t="n">
        <f aca="false">O27*Assumptions!$C$27*AA27</f>
        <v>73.7681573597654</v>
      </c>
      <c r="AC27" s="36" t="n">
        <f aca="false">(Q26+R26)*Assumptions!$C$28*AA27</f>
        <v>956.847004851841</v>
      </c>
      <c r="AD27" s="36" t="n">
        <f aca="false">M27*Assumptions!$C$29*AA27</f>
        <v>187.472933651759</v>
      </c>
      <c r="AE27" s="36" t="n">
        <f aca="false">T26*Assumptions!$C$30*AA27</f>
        <v>63.177876601865</v>
      </c>
      <c r="AF27" s="36" t="n">
        <f aca="false">U26*Assumptions!$C$31*AA27</f>
        <v>0</v>
      </c>
      <c r="AG27" s="36" t="n">
        <f aca="false">X27*Assumptions!$C$37*Assumptions!$C$38</f>
        <v>54.2138726967733</v>
      </c>
      <c r="AH27" s="36" t="n">
        <f aca="false">Z27*Assumptions!$C$44*Assumptions!$C$45</f>
        <v>0</v>
      </c>
      <c r="AI27" s="36" t="n">
        <f aca="false">SUM(AB27:AH27)</f>
        <v>1335.479845162</v>
      </c>
      <c r="AJ27" s="36" t="n">
        <f aca="false">(S27*Assumptions!$C$28+T27*Assumptions!$C$30+U27*Assumptions!$C$31)*AA27+AG27+AH27</f>
        <v>1111.11102785425</v>
      </c>
      <c r="AK27" s="36" t="n">
        <f aca="false">(AI27-AH27)*Assumptions!$C$49</f>
        <v>53.4191938064802</v>
      </c>
      <c r="AL27" s="36" t="n">
        <f aca="false">(AC27+AE27+AF27)*Assumptions!$C$50</f>
        <v>7.14017417017594</v>
      </c>
      <c r="AM27" s="36" t="n">
        <f aca="false">S27*Assumptions!$C$51+M27*Assumptions!$C$52</f>
        <v>18.155331836686</v>
      </c>
      <c r="AN27" s="36" t="n">
        <f aca="false">Assumptions!$C$53+Assumptions!$C$54*(S27+T27+U27)</f>
        <v>243.371098157419</v>
      </c>
      <c r="AO27" s="36" t="n">
        <f aca="false">IF(C27&gt;=2,Assumptions!$C$55,0)</f>
        <v>100</v>
      </c>
      <c r="AP27" s="33" t="n">
        <f aca="false">E27*Assumptions!$C$60/60+F27*Assumptions!$C$61+J27*Assumptions!$C$62+(S27+T27)*Assumptions!$C$63+X27*Assumptions!$C$64+Z27*Assumptions!$C$65+U27*Assumptions!$C$66+Assumptions!$C$67*52/12</f>
        <v>67.6022712112176</v>
      </c>
      <c r="AQ27" s="33" t="n">
        <f aca="false">IF(BC26=1,Assumptions!$C$69,Assumptions!$C$68)*52/12</f>
        <v>78</v>
      </c>
      <c r="AR27" s="33" t="n">
        <f aca="false">MAX(0,AP27-AQ27)</f>
        <v>0</v>
      </c>
      <c r="AS27" s="36" t="n">
        <f aca="false">AR27*Assumptions!$C$70*Assumptions!$C$71</f>
        <v>0</v>
      </c>
      <c r="AT27" s="36" t="n">
        <f aca="false">Assumptions!$C$56/12</f>
        <v>100</v>
      </c>
      <c r="AU27" s="36" t="n">
        <f aca="false">IF(A27=1,Assumptions!$C$57,0)+Assumptions!$C$58</f>
        <v>60</v>
      </c>
      <c r="AV27" s="36" t="n">
        <f aca="false">IF(AND(Y27&gt;0,Y27=A27),Assumptions!$C$46,0)+IF(Y27&gt;0,Assumptions!$C$47,0)</f>
        <v>0</v>
      </c>
      <c r="AW27" s="36" t="n">
        <f aca="false">AK27+AL27+AM27+AN27+AO27+AS27+AT27+AU27+AV27</f>
        <v>582.085797970761</v>
      </c>
      <c r="AX27" s="36" t="n">
        <f aca="false">AI27-AW27</f>
        <v>753.394047191243</v>
      </c>
      <c r="AY27" s="36" t="n">
        <f aca="false">MAX(0,AX27)*Assumptions!$C$73</f>
        <v>226.018214157373</v>
      </c>
      <c r="AZ27" s="36" t="n">
        <f aca="false">AX27-AY27</f>
        <v>527.37583303387</v>
      </c>
      <c r="BA27" s="36" t="n">
        <f aca="false">BA26+AZ27</f>
        <v>3281.44760081478</v>
      </c>
      <c r="BB27" s="31" t="n">
        <f aca="false">IF(AZ27&gt;=Assumptions!$C$74/12,BB26+1,0)</f>
        <v>0</v>
      </c>
      <c r="BC27" s="31" t="n">
        <f aca="false">IF(OR(BC26=1,BB27&gt;=3),1,0)</f>
        <v>0</v>
      </c>
      <c r="BD27" s="31" t="n">
        <f aca="false">IF(AZ27&gt;=Assumptions!$C$75/12,BD26+1,0)</f>
        <v>0</v>
      </c>
      <c r="BE27" s="33" t="n">
        <f aca="false">AP27*12/52</f>
        <v>15.6005241256656</v>
      </c>
      <c r="BF27" s="33" t="n">
        <f aca="false">AR27*12/52</f>
        <v>0</v>
      </c>
      <c r="BG27" s="31" t="n">
        <f aca="false">IF(AX27&gt;0,A27,999)</f>
        <v>23</v>
      </c>
      <c r="BH27" s="31" t="n">
        <f aca="false">IF(BB27&gt;=3,A27,999)</f>
        <v>999</v>
      </c>
      <c r="BI27" s="31" t="n">
        <f aca="false">IF(BD27&gt;=3,A27,999)</f>
        <v>999</v>
      </c>
    </row>
    <row r="28" customFormat="false" ht="15" hidden="false" customHeight="false" outlineLevel="0" collapsed="false">
      <c r="A28" s="37" t="n">
        <v>24</v>
      </c>
      <c r="B28" s="38" t="n">
        <f aca="false">DATE(2026,10+A28,1)</f>
        <v>47027</v>
      </c>
      <c r="C28" s="37" t="n">
        <f aca="false">INT((A28-1)/12)+1</f>
        <v>2</v>
      </c>
      <c r="D28" s="37" t="n">
        <f aca="false">IF(C28=1,Assumptions!$C$7,IF(C28=2,Assumptions!$C$8,Assumptions!$C$9))</f>
        <v>12</v>
      </c>
      <c r="E28" s="37" t="n">
        <f aca="false">D28*Assumptions!$C$10</f>
        <v>240</v>
      </c>
      <c r="F28" s="39" t="n">
        <f aca="false">E28*Assumptions!$C$11</f>
        <v>12</v>
      </c>
      <c r="G28" s="40" t="n">
        <f aca="false">MIN(1,Assumptions!$C$13+(1-Assumptions!$C$13)*(A28-1)/Assumptions!$C$14)</f>
        <v>1</v>
      </c>
      <c r="H28" s="39" t="n">
        <f aca="false">F28*Assumptions!$C$12*G28</f>
        <v>1.2</v>
      </c>
      <c r="I28" s="39" t="n">
        <f aca="false">Assumptions!$C$15*(Q27+R27+T27+U27)</f>
        <v>0.0542138726967733</v>
      </c>
      <c r="J28" s="39" t="n">
        <f aca="false">H28+I28</f>
        <v>1.25421387269677</v>
      </c>
      <c r="K28" s="39" t="n">
        <f aca="false">J28*Assumptions!$C$18</f>
        <v>0</v>
      </c>
      <c r="L28" s="39" t="n">
        <f aca="false">(J28-K28)*Assumptions!$C$17</f>
        <v>0.877949710887741</v>
      </c>
      <c r="M28" s="39" t="n">
        <f aca="false">J28-K28-L28</f>
        <v>0.376264161809032</v>
      </c>
      <c r="N28" s="39" t="n">
        <f aca="false">L28*Assumptions!$C$19</f>
        <v>0.131692456633161</v>
      </c>
      <c r="O28" s="39" t="n">
        <f aca="false">L28-N28</f>
        <v>0.74625725425458</v>
      </c>
      <c r="P28" s="39" t="n">
        <f aca="false">O16*(1-Assumptions!$C$20)^12</f>
        <v>0.478179411449561</v>
      </c>
      <c r="Q28" s="39" t="n">
        <f aca="false">Q27*(1-Assumptions!$C$20)+O28-P28</f>
        <v>7.95664288539028</v>
      </c>
      <c r="R28" s="39" t="n">
        <f aca="false">R27*(1-Assumptions!$C$22)+P28*(1-Assumptions!$C$21)</f>
        <v>2.39662819247854</v>
      </c>
      <c r="S28" s="39" t="n">
        <f aca="false">Q28+R28</f>
        <v>10.3532710778688</v>
      </c>
      <c r="T28" s="39" t="n">
        <f aca="false">T27*(1-Assumptions!$C$24)+M28*Assumptions!$C$23</f>
        <v>0.85251647157782</v>
      </c>
      <c r="U28" s="39" t="n">
        <f aca="false">U27*(1-Assumptions!$C$25)+K28</f>
        <v>0</v>
      </c>
      <c r="V28" s="39" t="n">
        <f aca="false">V27+M28</f>
        <v>7.20819025324038</v>
      </c>
      <c r="W28" s="39" t="n">
        <f aca="false">N28+Q27*Assumptions!$C$20+P28*Assumptions!$C$21+R27*Assumptions!$C$22+T27*Assumptions!$C$24+U27*Assumptions!$C$25</f>
        <v>0.590189533157574</v>
      </c>
      <c r="X28" s="39" t="n">
        <f aca="false">IF(A28&lt;Assumptions!$C$34,0,Assumptions!$C$36*MIN(1,(A28-Assumptions!$C$34+1)/Assumptions!$C$35))*(S28+T28)</f>
        <v>1.12057875494466</v>
      </c>
      <c r="Y28" s="37" t="n">
        <f aca="false">IF(Y27&gt;0,Y27,IF(AND(A28&gt;=Assumptions!$C$41,Q27+R27+T27&gt;=Assumptions!$C$40),A28,0))</f>
        <v>0</v>
      </c>
      <c r="Z28" s="39" t="n">
        <f aca="false">IF(Y28&gt;0,Assumptions!$C$42*MIN(1,(A28-Y28+1)/Assumptions!$C$43),0)*(S28+T28)</f>
        <v>0</v>
      </c>
      <c r="AA28" s="41" t="n">
        <f aca="false">(1+Assumptions!$C$32)^(C28-1)</f>
        <v>1</v>
      </c>
      <c r="AB28" s="42" t="n">
        <f aca="false">O28*Assumptions!$C$27*AA28</f>
        <v>73.8794681712034</v>
      </c>
      <c r="AC28" s="42" t="n">
        <f aca="false">(Q27+R27)*Assumptions!$C$28*AA28</f>
        <v>991.57393441485</v>
      </c>
      <c r="AD28" s="42" t="n">
        <f aca="false">M28*Assumptions!$C$29*AA28</f>
        <v>187.755816742707</v>
      </c>
      <c r="AE28" s="42" t="n">
        <f aca="false">T27*Assumptions!$C$30*AA28</f>
        <v>65.3232207426224</v>
      </c>
      <c r="AF28" s="42" t="n">
        <f aca="false">U27*Assumptions!$C$31*AA28</f>
        <v>0</v>
      </c>
      <c r="AG28" s="42" t="n">
        <f aca="false">X28*Assumptions!$C$37*Assumptions!$C$38</f>
        <v>56.0289377472332</v>
      </c>
      <c r="AH28" s="42" t="n">
        <f aca="false">Z28*Assumptions!$C$44*Assumptions!$C$45</f>
        <v>0</v>
      </c>
      <c r="AI28" s="42" t="n">
        <f aca="false">SUM(AB28:AH28)</f>
        <v>1374.56137781862</v>
      </c>
      <c r="AJ28" s="42" t="n">
        <f aca="false">(S28*Assumptions!$C$28+T28*Assumptions!$C$30+U28*Assumptions!$C$31)*AA28+AG28+AH28</f>
        <v>1148.35157571089</v>
      </c>
      <c r="AK28" s="42" t="n">
        <f aca="false">(AI28-AH28)*Assumptions!$C$49</f>
        <v>54.9824551127446</v>
      </c>
      <c r="AL28" s="42" t="n">
        <f aca="false">(AC28+AE28+AF28)*Assumptions!$C$50</f>
        <v>7.39828008610231</v>
      </c>
      <c r="AM28" s="42" t="n">
        <f aca="false">S28*Assumptions!$C$51+M28*Assumptions!$C$52</f>
        <v>18.5855512744715</v>
      </c>
      <c r="AN28" s="42" t="n">
        <f aca="false">Assumptions!$C$53+Assumptions!$C$54*(S28+T28+U28)</f>
        <v>244.823150197787</v>
      </c>
      <c r="AO28" s="42" t="n">
        <f aca="false">IF(C28&gt;=2,Assumptions!$C$55,0)</f>
        <v>100</v>
      </c>
      <c r="AP28" s="39" t="n">
        <f aca="false">E28*Assumptions!$C$60/60+F28*Assumptions!$C$61+J28*Assumptions!$C$62+(S28+T28)*Assumptions!$C$63+X28*Assumptions!$C$64+Z28*Assumptions!$C$65+U28*Assumptions!$C$66+Assumptions!$C$67*52/12</f>
        <v>68.3884181827339</v>
      </c>
      <c r="AQ28" s="39" t="n">
        <f aca="false">IF(BC27=1,Assumptions!$C$69,Assumptions!$C$68)*52/12</f>
        <v>78</v>
      </c>
      <c r="AR28" s="39" t="n">
        <f aca="false">MAX(0,AP28-AQ28)</f>
        <v>0</v>
      </c>
      <c r="AS28" s="42" t="n">
        <f aca="false">AR28*Assumptions!$C$70*Assumptions!$C$71</f>
        <v>0</v>
      </c>
      <c r="AT28" s="42" t="n">
        <f aca="false">Assumptions!$C$56/12</f>
        <v>100</v>
      </c>
      <c r="AU28" s="42" t="n">
        <f aca="false">IF(A28=1,Assumptions!$C$57,0)+Assumptions!$C$58</f>
        <v>60</v>
      </c>
      <c r="AV28" s="42" t="n">
        <f aca="false">IF(AND(Y28&gt;0,Y28=A28),Assumptions!$C$46,0)+IF(Y28&gt;0,Assumptions!$C$47,0)</f>
        <v>0</v>
      </c>
      <c r="AW28" s="42" t="n">
        <f aca="false">AK28+AL28+AM28+AN28+AO28+AS28+AT28+AU28+AV28</f>
        <v>585.789436671105</v>
      </c>
      <c r="AX28" s="42" t="n">
        <f aca="false">AI28-AW28</f>
        <v>788.771941147511</v>
      </c>
      <c r="AY28" s="42" t="n">
        <f aca="false">MAX(0,AX28)*Assumptions!$C$73</f>
        <v>236.631582344253</v>
      </c>
      <c r="AZ28" s="42" t="n">
        <f aca="false">AX28-AY28</f>
        <v>552.140358803258</v>
      </c>
      <c r="BA28" s="42" t="n">
        <f aca="false">BA27+AZ28</f>
        <v>3833.58795961804</v>
      </c>
      <c r="BB28" s="37" t="n">
        <f aca="false">IF(AZ28&gt;=Assumptions!$C$74/12,BB27+1,0)</f>
        <v>0</v>
      </c>
      <c r="BC28" s="37" t="n">
        <f aca="false">IF(OR(BC27=1,BB28&gt;=3),1,0)</f>
        <v>0</v>
      </c>
      <c r="BD28" s="37" t="n">
        <f aca="false">IF(AZ28&gt;=Assumptions!$C$75/12,BD27+1,0)</f>
        <v>0</v>
      </c>
      <c r="BE28" s="39" t="n">
        <f aca="false">AP28*12/52</f>
        <v>15.781942657554</v>
      </c>
      <c r="BF28" s="39" t="n">
        <f aca="false">AR28*12/52</f>
        <v>0</v>
      </c>
      <c r="BG28" s="37" t="n">
        <f aca="false">IF(AX28&gt;0,A28,999)</f>
        <v>24</v>
      </c>
      <c r="BH28" s="37" t="n">
        <f aca="false">IF(BB28&gt;=3,A28,999)</f>
        <v>999</v>
      </c>
      <c r="BI28" s="37" t="n">
        <f aca="false">IF(BD28&gt;=3,A28,999)</f>
        <v>999</v>
      </c>
    </row>
    <row r="29" customFormat="false" ht="15" hidden="false" customHeight="false" outlineLevel="0" collapsed="false">
      <c r="A29" s="31" t="n">
        <v>25</v>
      </c>
      <c r="B29" s="32" t="n">
        <f aca="false">DATE(2026,10+A29,1)</f>
        <v>47058</v>
      </c>
      <c r="C29" s="31" t="n">
        <f aca="false">INT((A29-1)/12)+1</f>
        <v>3</v>
      </c>
      <c r="D29" s="31" t="n">
        <f aca="false">IF(C29=1,Assumptions!$C$7,IF(C29=2,Assumptions!$C$8,Assumptions!$C$9))</f>
        <v>15</v>
      </c>
      <c r="E29" s="31" t="n">
        <f aca="false">D29*Assumptions!$C$10</f>
        <v>300</v>
      </c>
      <c r="F29" s="33" t="n">
        <f aca="false">E29*Assumptions!$C$11</f>
        <v>15</v>
      </c>
      <c r="G29" s="34" t="n">
        <f aca="false">MIN(1,Assumptions!$C$13+(1-Assumptions!$C$13)*(A29-1)/Assumptions!$C$14)</f>
        <v>1</v>
      </c>
      <c r="H29" s="33" t="n">
        <f aca="false">F29*Assumptions!$C$12*G29</f>
        <v>1.5</v>
      </c>
      <c r="I29" s="33" t="n">
        <f aca="false">Assumptions!$C$15*(Q28+R28+T28+U28)</f>
        <v>0.0560289377472332</v>
      </c>
      <c r="J29" s="33" t="n">
        <f aca="false">H29+I29</f>
        <v>1.55602893774723</v>
      </c>
      <c r="K29" s="33" t="n">
        <f aca="false">J29*Assumptions!$C$18</f>
        <v>0</v>
      </c>
      <c r="L29" s="33" t="n">
        <f aca="false">(J29-K29)*Assumptions!$C$17</f>
        <v>1.08922025642306</v>
      </c>
      <c r="M29" s="33" t="n">
        <f aca="false">J29-K29-L29</f>
        <v>0.46680868132417</v>
      </c>
      <c r="N29" s="33" t="n">
        <f aca="false">L29*Assumptions!$C$19</f>
        <v>0.163383038463459</v>
      </c>
      <c r="O29" s="33" t="n">
        <f aca="false">L29-N29</f>
        <v>0.925837217959604</v>
      </c>
      <c r="P29" s="33" t="n">
        <f aca="false">O17*(1-Assumptions!$C$20)^12</f>
        <v>0.572865467359671</v>
      </c>
      <c r="Q29" s="33" t="n">
        <f aca="false">Q28*(1-Assumptions!$C$20)+O29-P29</f>
        <v>8.1504817782824</v>
      </c>
      <c r="R29" s="33" t="n">
        <f aca="false">R28*(1-Assumptions!$C$22)+P29*(1-Assumptions!$C$21)</f>
        <v>2.67780261000638</v>
      </c>
      <c r="S29" s="33" t="n">
        <f aca="false">Q29+R29</f>
        <v>10.8282843882888</v>
      </c>
      <c r="T29" s="33" t="n">
        <f aca="false">T28*(1-Assumptions!$C$24)+M29*Assumptions!$C$23</f>
        <v>0.894727219547985</v>
      </c>
      <c r="U29" s="33" t="n">
        <f aca="false">U28*(1-Assumptions!$C$25)+K29</f>
        <v>0</v>
      </c>
      <c r="V29" s="33" t="n">
        <f aca="false">V28+M29</f>
        <v>7.67499893456455</v>
      </c>
      <c r="W29" s="33" t="n">
        <f aca="false">N29+Q28*Assumptions!$C$20+P29*Assumptions!$C$21+R28*Assumptions!$C$22+T28*Assumptions!$C$24+U28*Assumptions!$C$25</f>
        <v>0.665357934297762</v>
      </c>
      <c r="X29" s="33" t="n">
        <f aca="false">IF(A29&lt;Assumptions!$C$34,0,Assumptions!$C$36*MIN(1,(A29-Assumptions!$C$34+1)/Assumptions!$C$35))*(S29+T29)</f>
        <v>1.17230116078368</v>
      </c>
      <c r="Y29" s="31" t="n">
        <f aca="false">IF(Y28&gt;0,Y28,IF(AND(A29&gt;=Assumptions!$C$41,Q28+R28+T28&gt;=Assumptions!$C$40),A29,0))</f>
        <v>0</v>
      </c>
      <c r="Z29" s="33" t="n">
        <f aca="false">IF(Y29&gt;0,Assumptions!$C$42*MIN(1,(A29-Y29+1)/Assumptions!$C$43),0)*(S29+T29)</f>
        <v>0</v>
      </c>
      <c r="AA29" s="35" t="n">
        <f aca="false">(1+Assumptions!$C$32)^(C29-1)</f>
        <v>1</v>
      </c>
      <c r="AB29" s="36" t="n">
        <f aca="false">O29*Assumptions!$C$27*AA29</f>
        <v>91.6578845780008</v>
      </c>
      <c r="AC29" s="36" t="n">
        <f aca="false">(Q28+R28)*Assumptions!$C$28*AA29</f>
        <v>1024.97383670901</v>
      </c>
      <c r="AD29" s="36" t="n">
        <f aca="false">M29*Assumptions!$C$29*AA29</f>
        <v>232.937531980761</v>
      </c>
      <c r="AE29" s="36" t="n">
        <f aca="false">T28*Assumptions!$C$30*AA29</f>
        <v>67.3488012546478</v>
      </c>
      <c r="AF29" s="36" t="n">
        <f aca="false">U28*Assumptions!$C$31*AA29</f>
        <v>0</v>
      </c>
      <c r="AG29" s="36" t="n">
        <f aca="false">X29*Assumptions!$C$37*Assumptions!$C$38</f>
        <v>58.6150580391838</v>
      </c>
      <c r="AH29" s="36" t="n">
        <f aca="false">Z29*Assumptions!$C$44*Assumptions!$C$45</f>
        <v>0</v>
      </c>
      <c r="AI29" s="36" t="n">
        <f aca="false">SUM(AB29:AH29)</f>
        <v>1475.53311256161</v>
      </c>
      <c r="AJ29" s="36" t="n">
        <f aca="false">(S29*Assumptions!$C$28+T29*Assumptions!$C$30+U29*Assumptions!$C$31)*AA29+AG29+AH29</f>
        <v>1201.29866282406</v>
      </c>
      <c r="AK29" s="36" t="n">
        <f aca="false">(AI29-AH29)*Assumptions!$C$49</f>
        <v>59.0213245024642</v>
      </c>
      <c r="AL29" s="36" t="n">
        <f aca="false">(AC29+AE29+AF29)*Assumptions!$C$50</f>
        <v>7.64625846574562</v>
      </c>
      <c r="AM29" s="36" t="n">
        <f aca="false">S29*Assumptions!$C$51+M29*Assumptions!$C$52</f>
        <v>20.5374857052235</v>
      </c>
      <c r="AN29" s="36" t="n">
        <f aca="false">Assumptions!$C$53+Assumptions!$C$54*(S29+T29+U29)</f>
        <v>246.892046431347</v>
      </c>
      <c r="AO29" s="36" t="n">
        <f aca="false">IF(C29&gt;=2,Assumptions!$C$55,0)</f>
        <v>100</v>
      </c>
      <c r="AP29" s="33" t="n">
        <f aca="false">E29*Assumptions!$C$60/60+F29*Assumptions!$C$61+J29*Assumptions!$C$62+(S29+T29)*Assumptions!$C$63+X29*Assumptions!$C$64+Z29*Assumptions!$C$65+U29*Assumptions!$C$66+Assumptions!$C$67*52/12</f>
        <v>76.2058951034241</v>
      </c>
      <c r="AQ29" s="33" t="n">
        <f aca="false">IF(BC28=1,Assumptions!$C$69,Assumptions!$C$68)*52/12</f>
        <v>78</v>
      </c>
      <c r="AR29" s="33" t="n">
        <f aca="false">MAX(0,AP29-AQ29)</f>
        <v>0</v>
      </c>
      <c r="AS29" s="36" t="n">
        <f aca="false">AR29*Assumptions!$C$70*Assumptions!$C$71</f>
        <v>0</v>
      </c>
      <c r="AT29" s="36" t="n">
        <f aca="false">Assumptions!$C$56/12</f>
        <v>100</v>
      </c>
      <c r="AU29" s="36" t="n">
        <f aca="false">IF(A29=1,Assumptions!$C$57,0)+Assumptions!$C$58</f>
        <v>60</v>
      </c>
      <c r="AV29" s="36" t="n">
        <f aca="false">IF(AND(Y29&gt;0,Y29=A29),Assumptions!$C$46,0)+IF(Y29&gt;0,Assumptions!$C$47,0)</f>
        <v>0</v>
      </c>
      <c r="AW29" s="36" t="n">
        <f aca="false">AK29+AL29+AM29+AN29+AO29+AS29+AT29+AU29+AV29</f>
        <v>594.09711510478</v>
      </c>
      <c r="AX29" s="36" t="n">
        <f aca="false">AI29-AW29</f>
        <v>881.435997456825</v>
      </c>
      <c r="AY29" s="36" t="n">
        <f aca="false">MAX(0,AX29)*Assumptions!$C$73</f>
        <v>264.430799237048</v>
      </c>
      <c r="AZ29" s="36" t="n">
        <f aca="false">AX29-AY29</f>
        <v>617.005198219778</v>
      </c>
      <c r="BA29" s="36" t="n">
        <f aca="false">BA28+AZ29</f>
        <v>4450.59315783782</v>
      </c>
      <c r="BB29" s="31" t="n">
        <f aca="false">IF(AZ29&gt;=Assumptions!$C$74/12,BB28+1,0)</f>
        <v>0</v>
      </c>
      <c r="BC29" s="31" t="n">
        <f aca="false">IF(OR(BC28=1,BB29&gt;=3),1,0)</f>
        <v>0</v>
      </c>
      <c r="BD29" s="31" t="n">
        <f aca="false">IF(AZ29&gt;=Assumptions!$C$75/12,BD28+1,0)</f>
        <v>0</v>
      </c>
      <c r="BE29" s="33" t="n">
        <f aca="false">AP29*12/52</f>
        <v>17.5859757930979</v>
      </c>
      <c r="BF29" s="33" t="n">
        <f aca="false">AR29*12/52</f>
        <v>0</v>
      </c>
      <c r="BG29" s="31" t="n">
        <f aca="false">IF(AX29&gt;0,A29,999)</f>
        <v>25</v>
      </c>
      <c r="BH29" s="31" t="n">
        <f aca="false">IF(BB29&gt;=3,A29,999)</f>
        <v>999</v>
      </c>
      <c r="BI29" s="31" t="n">
        <f aca="false">IF(BD29&gt;=3,A29,999)</f>
        <v>999</v>
      </c>
    </row>
    <row r="30" customFormat="false" ht="15" hidden="false" customHeight="false" outlineLevel="0" collapsed="false">
      <c r="A30" s="31" t="n">
        <v>26</v>
      </c>
      <c r="B30" s="32" t="n">
        <f aca="false">DATE(2026,10+A30,1)</f>
        <v>47088</v>
      </c>
      <c r="C30" s="31" t="n">
        <f aca="false">INT((A30-1)/12)+1</f>
        <v>3</v>
      </c>
      <c r="D30" s="31" t="n">
        <f aca="false">IF(C30=1,Assumptions!$C$7,IF(C30=2,Assumptions!$C$8,Assumptions!$C$9))</f>
        <v>15</v>
      </c>
      <c r="E30" s="31" t="n">
        <f aca="false">D30*Assumptions!$C$10</f>
        <v>300</v>
      </c>
      <c r="F30" s="33" t="n">
        <f aca="false">E30*Assumptions!$C$11</f>
        <v>15</v>
      </c>
      <c r="G30" s="34" t="n">
        <f aca="false">MIN(1,Assumptions!$C$13+(1-Assumptions!$C$13)*(A30-1)/Assumptions!$C$14)</f>
        <v>1</v>
      </c>
      <c r="H30" s="33" t="n">
        <f aca="false">F30*Assumptions!$C$12*G30</f>
        <v>1.5</v>
      </c>
      <c r="I30" s="33" t="n">
        <f aca="false">Assumptions!$C$15*(Q29+R29+T29+U29)</f>
        <v>0.0586150580391838</v>
      </c>
      <c r="J30" s="33" t="n">
        <f aca="false">H30+I30</f>
        <v>1.55861505803918</v>
      </c>
      <c r="K30" s="33" t="n">
        <f aca="false">J30*Assumptions!$C$18</f>
        <v>0</v>
      </c>
      <c r="L30" s="33" t="n">
        <f aca="false">(J30-K30)*Assumptions!$C$17</f>
        <v>1.09103054062743</v>
      </c>
      <c r="M30" s="33" t="n">
        <f aca="false">J30-K30-L30</f>
        <v>0.467584517411755</v>
      </c>
      <c r="N30" s="33" t="n">
        <f aca="false">L30*Assumptions!$C$19</f>
        <v>0.163654581094114</v>
      </c>
      <c r="O30" s="33" t="n">
        <f aca="false">L30-N30</f>
        <v>0.927375959533314</v>
      </c>
      <c r="P30" s="33" t="n">
        <f aca="false">O18*(1-Assumptions!$C$20)^12</f>
        <v>0.574319844283832</v>
      </c>
      <c r="Q30" s="33" t="n">
        <f aca="false">Q29*(1-Assumptions!$C$20)+O30-P30</f>
        <v>8.34052825796624</v>
      </c>
      <c r="R30" s="33" t="n">
        <f aca="false">R29*(1-Assumptions!$C$22)+P30*(1-Assumptions!$C$21)</f>
        <v>2.94593637050474</v>
      </c>
      <c r="S30" s="33" t="n">
        <f aca="false">Q30+R30</f>
        <v>11.286464628471</v>
      </c>
      <c r="T30" s="33" t="n">
        <f aca="false">T29*(1-Assumptions!$C$24)+M30*Assumptions!$C$23</f>
        <v>0.934560489857457</v>
      </c>
      <c r="U30" s="33" t="n">
        <f aca="false">U29*(1-Assumptions!$C$25)+K30</f>
        <v>0</v>
      </c>
      <c r="V30" s="33" t="n">
        <f aca="false">V29+M30</f>
        <v>8.14258345197631</v>
      </c>
      <c r="W30" s="33" t="n">
        <f aca="false">N30+Q29*Assumptions!$C$20+P30*Assumptions!$C$21+R29*Assumptions!$C$22+T29*Assumptions!$C$24+U29*Assumptions!$C$25</f>
        <v>0.68653393361811</v>
      </c>
      <c r="X30" s="33" t="n">
        <f aca="false">IF(A30&lt;Assumptions!$C$34,0,Assumptions!$C$36*MIN(1,(A30-Assumptions!$C$34+1)/Assumptions!$C$35))*(S30+T30)</f>
        <v>1.22210251183284</v>
      </c>
      <c r="Y30" s="31" t="n">
        <f aca="false">IF(Y29&gt;0,Y29,IF(AND(A30&gt;=Assumptions!$C$41,Q29+R29+T29&gt;=Assumptions!$C$40),A30,0))</f>
        <v>0</v>
      </c>
      <c r="Z30" s="33" t="n">
        <f aca="false">IF(Y30&gt;0,Assumptions!$C$42*MIN(1,(A30-Y30+1)/Assumptions!$C$43),0)*(S30+T30)</f>
        <v>0</v>
      </c>
      <c r="AA30" s="35" t="n">
        <f aca="false">(1+Assumptions!$C$32)^(C30-1)</f>
        <v>1</v>
      </c>
      <c r="AB30" s="36" t="n">
        <f aca="false">O30*Assumptions!$C$27*AA30</f>
        <v>91.8102199937981</v>
      </c>
      <c r="AC30" s="36" t="n">
        <f aca="false">(Q29+R29)*Assumptions!$C$28*AA30</f>
        <v>1072.00015444059</v>
      </c>
      <c r="AD30" s="36" t="n">
        <f aca="false">M30*Assumptions!$C$29*AA30</f>
        <v>233.324674188466</v>
      </c>
      <c r="AE30" s="36" t="n">
        <f aca="false">T29*Assumptions!$C$30*AA30</f>
        <v>70.6834503442908</v>
      </c>
      <c r="AF30" s="36" t="n">
        <f aca="false">U29*Assumptions!$C$31*AA30</f>
        <v>0</v>
      </c>
      <c r="AG30" s="36" t="n">
        <f aca="false">X30*Assumptions!$C$37*Assumptions!$C$38</f>
        <v>61.1051255916422</v>
      </c>
      <c r="AH30" s="36" t="n">
        <f aca="false">Z30*Assumptions!$C$44*Assumptions!$C$45</f>
        <v>0</v>
      </c>
      <c r="AI30" s="36" t="n">
        <f aca="false">SUM(AB30:AH30)</f>
        <v>1528.92362455879</v>
      </c>
      <c r="AJ30" s="36" t="n">
        <f aca="false">(S30*Assumptions!$C$28+T30*Assumptions!$C$30+U30*Assumptions!$C$31)*AA30+AG30+AH30</f>
        <v>1252.29540250901</v>
      </c>
      <c r="AK30" s="36" t="n">
        <f aca="false">(AI30-AH30)*Assumptions!$C$49</f>
        <v>61.1569449823515</v>
      </c>
      <c r="AL30" s="36" t="n">
        <f aca="false">(AC30+AE30+AF30)*Assumptions!$C$50</f>
        <v>7.99878523349416</v>
      </c>
      <c r="AM30" s="36" t="n">
        <f aca="false">S30*Assumptions!$C$51+M30*Assumptions!$C$52</f>
        <v>21.1218485467651</v>
      </c>
      <c r="AN30" s="36" t="n">
        <f aca="false">Assumptions!$C$53+Assumptions!$C$54*(S30+T30+U30)</f>
        <v>248.884100473314</v>
      </c>
      <c r="AO30" s="36" t="n">
        <f aca="false">IF(C30&gt;=2,Assumptions!$C$55,0)</f>
        <v>100</v>
      </c>
      <c r="AP30" s="33" t="n">
        <f aca="false">E30*Assumptions!$C$60/60+F30*Assumptions!$C$61+J30*Assumptions!$C$62+(S30+T30)*Assumptions!$C$63+X30*Assumptions!$C$64+Z30*Assumptions!$C$65+U30*Assumptions!$C$66+Assumptions!$C$67*52/12</f>
        <v>77.284382511857</v>
      </c>
      <c r="AQ30" s="33" t="n">
        <f aca="false">IF(BC29=1,Assumptions!$C$69,Assumptions!$C$68)*52/12</f>
        <v>78</v>
      </c>
      <c r="AR30" s="33" t="n">
        <f aca="false">MAX(0,AP30-AQ30)</f>
        <v>0</v>
      </c>
      <c r="AS30" s="36" t="n">
        <f aca="false">AR30*Assumptions!$C$70*Assumptions!$C$71</f>
        <v>0</v>
      </c>
      <c r="AT30" s="36" t="n">
        <f aca="false">Assumptions!$C$56/12</f>
        <v>100</v>
      </c>
      <c r="AU30" s="36" t="n">
        <f aca="false">IF(A30=1,Assumptions!$C$57,0)+Assumptions!$C$58</f>
        <v>60</v>
      </c>
      <c r="AV30" s="36" t="n">
        <f aca="false">IF(AND(Y30&gt;0,Y30=A30),Assumptions!$C$46,0)+IF(Y30&gt;0,Assumptions!$C$47,0)</f>
        <v>0</v>
      </c>
      <c r="AW30" s="36" t="n">
        <f aca="false">AK30+AL30+AM30+AN30+AO30+AS30+AT30+AU30+AV30</f>
        <v>599.161679235925</v>
      </c>
      <c r="AX30" s="36" t="n">
        <f aca="false">AI30-AW30</f>
        <v>929.761945322862</v>
      </c>
      <c r="AY30" s="36" t="n">
        <f aca="false">MAX(0,AX30)*Assumptions!$C$73</f>
        <v>278.928583596859</v>
      </c>
      <c r="AZ30" s="36" t="n">
        <f aca="false">AX30-AY30</f>
        <v>650.833361726003</v>
      </c>
      <c r="BA30" s="36" t="n">
        <f aca="false">BA29+AZ30</f>
        <v>5101.42651956382</v>
      </c>
      <c r="BB30" s="31" t="n">
        <f aca="false">IF(AZ30&gt;=Assumptions!$C$74/12,BB29+1,0)</f>
        <v>0</v>
      </c>
      <c r="BC30" s="31" t="n">
        <f aca="false">IF(OR(BC29=1,BB30&gt;=3),1,0)</f>
        <v>0</v>
      </c>
      <c r="BD30" s="31" t="n">
        <f aca="false">IF(AZ30&gt;=Assumptions!$C$75/12,BD29+1,0)</f>
        <v>0</v>
      </c>
      <c r="BE30" s="33" t="n">
        <f aca="false">AP30*12/52</f>
        <v>17.8348575027362</v>
      </c>
      <c r="BF30" s="33" t="n">
        <f aca="false">AR30*12/52</f>
        <v>0</v>
      </c>
      <c r="BG30" s="31" t="n">
        <f aca="false">IF(AX30&gt;0,A30,999)</f>
        <v>26</v>
      </c>
      <c r="BH30" s="31" t="n">
        <f aca="false">IF(BB30&gt;=3,A30,999)</f>
        <v>999</v>
      </c>
      <c r="BI30" s="31" t="n">
        <f aca="false">IF(BD30&gt;=3,A30,999)</f>
        <v>999</v>
      </c>
    </row>
    <row r="31" customFormat="false" ht="15" hidden="false" customHeight="false" outlineLevel="0" collapsed="false">
      <c r="A31" s="31" t="n">
        <v>27</v>
      </c>
      <c r="B31" s="32" t="n">
        <f aca="false">DATE(2026,10+A31,1)</f>
        <v>47119</v>
      </c>
      <c r="C31" s="31" t="n">
        <f aca="false">INT((A31-1)/12)+1</f>
        <v>3</v>
      </c>
      <c r="D31" s="31" t="n">
        <f aca="false">IF(C31=1,Assumptions!$C$7,IF(C31=2,Assumptions!$C$8,Assumptions!$C$9))</f>
        <v>15</v>
      </c>
      <c r="E31" s="31" t="n">
        <f aca="false">D31*Assumptions!$C$10</f>
        <v>300</v>
      </c>
      <c r="F31" s="33" t="n">
        <f aca="false">E31*Assumptions!$C$11</f>
        <v>15</v>
      </c>
      <c r="G31" s="34" t="n">
        <f aca="false">MIN(1,Assumptions!$C$13+(1-Assumptions!$C$13)*(A31-1)/Assumptions!$C$14)</f>
        <v>1</v>
      </c>
      <c r="H31" s="33" t="n">
        <f aca="false">F31*Assumptions!$C$12*G31</f>
        <v>1.5</v>
      </c>
      <c r="I31" s="33" t="n">
        <f aca="false">Assumptions!$C$15*(Q30+R30+T30+U30)</f>
        <v>0.0611051255916422</v>
      </c>
      <c r="J31" s="33" t="n">
        <f aca="false">H31+I31</f>
        <v>1.56110512559164</v>
      </c>
      <c r="K31" s="33" t="n">
        <f aca="false">J31*Assumptions!$C$18</f>
        <v>0</v>
      </c>
      <c r="L31" s="33" t="n">
        <f aca="false">(J31-K31)*Assumptions!$C$17</f>
        <v>1.09277358791415</v>
      </c>
      <c r="M31" s="33" t="n">
        <f aca="false">J31-K31-L31</f>
        <v>0.468331537677493</v>
      </c>
      <c r="N31" s="33" t="n">
        <f aca="false">L31*Assumptions!$C$19</f>
        <v>0.163916038187122</v>
      </c>
      <c r="O31" s="33" t="n">
        <f aca="false">L31-N31</f>
        <v>0.928857549727027</v>
      </c>
      <c r="P31" s="33" t="n">
        <f aca="false">O19*(1-Assumptions!$C$20)^12</f>
        <v>0.575714001881282</v>
      </c>
      <c r="Q31" s="33" t="n">
        <f aca="false">Q30*(1-Assumptions!$C$20)+O31-P31</f>
        <v>8.52686124065266</v>
      </c>
      <c r="R31" s="33" t="n">
        <f aca="false">R30*(1-Assumptions!$C$22)+P31*(1-Assumptions!$C$21)</f>
        <v>3.2016393532964</v>
      </c>
      <c r="S31" s="33" t="n">
        <f aca="false">Q31+R31</f>
        <v>11.7285005939491</v>
      </c>
      <c r="T31" s="33" t="n">
        <f aca="false">T30*(1-Assumptions!$C$24)+M31*Assumptions!$C$23</f>
        <v>0.972153168001508</v>
      </c>
      <c r="U31" s="33" t="n">
        <f aca="false">U30*(1-Assumptions!$C$25)+K31</f>
        <v>0</v>
      </c>
      <c r="V31" s="33" t="n">
        <f aca="false">V30+M31</f>
        <v>8.6109149896538</v>
      </c>
      <c r="W31" s="33" t="n">
        <f aca="false">N31+Q30*Assumptions!$C$20+P31*Assumptions!$C$21+R30*Assumptions!$C$22+T30*Assumptions!$C$24+U30*Assumptions!$C$25</f>
        <v>0.706811251827516</v>
      </c>
      <c r="X31" s="33" t="n">
        <f aca="false">IF(A31&lt;Assumptions!$C$34,0,Assumptions!$C$36*MIN(1,(A31-Assumptions!$C$34+1)/Assumptions!$C$35))*(S31+T31)</f>
        <v>1.27006537619506</v>
      </c>
      <c r="Y31" s="31" t="n">
        <f aca="false">IF(Y30&gt;0,Y30,IF(AND(A31&gt;=Assumptions!$C$41,Q30+R30+T30&gt;=Assumptions!$C$40),A31,0))</f>
        <v>0</v>
      </c>
      <c r="Z31" s="33" t="n">
        <f aca="false">IF(Y31&gt;0,Assumptions!$C$42*MIN(1,(A31-Y31+1)/Assumptions!$C$43),0)*(S31+T31)</f>
        <v>0</v>
      </c>
      <c r="AA31" s="35" t="n">
        <f aca="false">(1+Assumptions!$C$32)^(C31-1)</f>
        <v>1</v>
      </c>
      <c r="AB31" s="36" t="n">
        <f aca="false">O31*Assumptions!$C$27*AA31</f>
        <v>91.9568974229757</v>
      </c>
      <c r="AC31" s="36" t="n">
        <f aca="false">(Q30+R30)*Assumptions!$C$28*AA31</f>
        <v>1117.35999821863</v>
      </c>
      <c r="AD31" s="36" t="n">
        <f aca="false">M31*Assumptions!$C$29*AA31</f>
        <v>233.697437301069</v>
      </c>
      <c r="AE31" s="36" t="n">
        <f aca="false">T30*Assumptions!$C$30*AA31</f>
        <v>73.8302786987391</v>
      </c>
      <c r="AF31" s="36" t="n">
        <f aca="false">U30*Assumptions!$C$31*AA31</f>
        <v>0</v>
      </c>
      <c r="AG31" s="36" t="n">
        <f aca="false">X31*Assumptions!$C$37*Assumptions!$C$38</f>
        <v>63.5032688097529</v>
      </c>
      <c r="AH31" s="36" t="n">
        <f aca="false">Z31*Assumptions!$C$44*Assumptions!$C$45</f>
        <v>0</v>
      </c>
      <c r="AI31" s="36" t="n">
        <f aca="false">SUM(AB31:AH31)</f>
        <v>1580.34788045116</v>
      </c>
      <c r="AJ31" s="36" t="n">
        <f aca="false">(S31*Assumptions!$C$28+T31*Assumptions!$C$30+U31*Assumptions!$C$31)*AA31+AG31+AH31</f>
        <v>1301.42492788283</v>
      </c>
      <c r="AK31" s="36" t="n">
        <f aca="false">(AI31-AH31)*Assumptions!$C$49</f>
        <v>63.2139152180465</v>
      </c>
      <c r="AL31" s="36" t="n">
        <f aca="false">(AC31+AE31+AF31)*Assumptions!$C$50</f>
        <v>8.33833193842156</v>
      </c>
      <c r="AM31" s="36" t="n">
        <f aca="false">S31*Assumptions!$C$51+M31*Assumptions!$C$52</f>
        <v>21.6855988075987</v>
      </c>
      <c r="AN31" s="36" t="n">
        <f aca="false">Assumptions!$C$53+Assumptions!$C$54*(S31+T31+U31)</f>
        <v>250.802615047802</v>
      </c>
      <c r="AO31" s="36" t="n">
        <f aca="false">IF(C31&gt;=2,Assumptions!$C$55,0)</f>
        <v>100</v>
      </c>
      <c r="AP31" s="33" t="n">
        <f aca="false">E31*Assumptions!$C$60/60+F31*Assumptions!$C$61+J31*Assumptions!$C$62+(S31+T31)*Assumptions!$C$63+X31*Assumptions!$C$64+Z31*Assumptions!$C$65+U31*Assumptions!$C$66+Assumptions!$C$67*52/12</f>
        <v>78.323054298302</v>
      </c>
      <c r="AQ31" s="33" t="n">
        <f aca="false">IF(BC30=1,Assumptions!$C$69,Assumptions!$C$68)*52/12</f>
        <v>78</v>
      </c>
      <c r="AR31" s="33" t="n">
        <f aca="false">MAX(0,AP31-AQ31)</f>
        <v>0.323054298301983</v>
      </c>
      <c r="AS31" s="36" t="n">
        <f aca="false">AR31*Assumptions!$C$70*Assumptions!$C$71</f>
        <v>4.19970587792578</v>
      </c>
      <c r="AT31" s="36" t="n">
        <f aca="false">Assumptions!$C$56/12</f>
        <v>100</v>
      </c>
      <c r="AU31" s="36" t="n">
        <f aca="false">IF(A31=1,Assumptions!$C$57,0)+Assumptions!$C$58</f>
        <v>60</v>
      </c>
      <c r="AV31" s="36" t="n">
        <f aca="false">IF(AND(Y31&gt;0,Y31=A31),Assumptions!$C$46,0)+IF(Y31&gt;0,Assumptions!$C$47,0)</f>
        <v>0</v>
      </c>
      <c r="AW31" s="36" t="n">
        <f aca="false">AK31+AL31+AM31+AN31+AO31+AS31+AT31+AU31+AV31</f>
        <v>608.240166889795</v>
      </c>
      <c r="AX31" s="36" t="n">
        <f aca="false">AI31-AW31</f>
        <v>972.107713561369</v>
      </c>
      <c r="AY31" s="36" t="n">
        <f aca="false">MAX(0,AX31)*Assumptions!$C$73</f>
        <v>291.632314068411</v>
      </c>
      <c r="AZ31" s="36" t="n">
        <f aca="false">AX31-AY31</f>
        <v>680.475399492958</v>
      </c>
      <c r="BA31" s="36" t="n">
        <f aca="false">BA30+AZ31</f>
        <v>5781.90191905678</v>
      </c>
      <c r="BB31" s="31" t="n">
        <f aca="false">IF(AZ31&gt;=Assumptions!$C$74/12,BB30+1,0)</f>
        <v>0</v>
      </c>
      <c r="BC31" s="31" t="n">
        <f aca="false">IF(OR(BC30=1,BB31&gt;=3),1,0)</f>
        <v>0</v>
      </c>
      <c r="BD31" s="31" t="n">
        <f aca="false">IF(AZ31&gt;=Assumptions!$C$75/12,BD30+1,0)</f>
        <v>0</v>
      </c>
      <c r="BE31" s="33" t="n">
        <f aca="false">AP31*12/52</f>
        <v>18.0745509919158</v>
      </c>
      <c r="BF31" s="33" t="n">
        <f aca="false">AR31*12/52</f>
        <v>0.0745509919158423</v>
      </c>
      <c r="BG31" s="31" t="n">
        <f aca="false">IF(AX31&gt;0,A31,999)</f>
        <v>27</v>
      </c>
      <c r="BH31" s="31" t="n">
        <f aca="false">IF(BB31&gt;=3,A31,999)</f>
        <v>999</v>
      </c>
      <c r="BI31" s="31" t="n">
        <f aca="false">IF(BD31&gt;=3,A31,999)</f>
        <v>999</v>
      </c>
    </row>
    <row r="32" customFormat="false" ht="15" hidden="false" customHeight="false" outlineLevel="0" collapsed="false">
      <c r="A32" s="31" t="n">
        <v>28</v>
      </c>
      <c r="B32" s="32" t="n">
        <f aca="false">DATE(2026,10+A32,1)</f>
        <v>47150</v>
      </c>
      <c r="C32" s="31" t="n">
        <f aca="false">INT((A32-1)/12)+1</f>
        <v>3</v>
      </c>
      <c r="D32" s="31" t="n">
        <f aca="false">IF(C32=1,Assumptions!$C$7,IF(C32=2,Assumptions!$C$8,Assumptions!$C$9))</f>
        <v>15</v>
      </c>
      <c r="E32" s="31" t="n">
        <f aca="false">D32*Assumptions!$C$10</f>
        <v>300</v>
      </c>
      <c r="F32" s="33" t="n">
        <f aca="false">E32*Assumptions!$C$11</f>
        <v>15</v>
      </c>
      <c r="G32" s="34" t="n">
        <f aca="false">MIN(1,Assumptions!$C$13+(1-Assumptions!$C$13)*(A32-1)/Assumptions!$C$14)</f>
        <v>1</v>
      </c>
      <c r="H32" s="33" t="n">
        <f aca="false">F32*Assumptions!$C$12*G32</f>
        <v>1.5</v>
      </c>
      <c r="I32" s="33" t="n">
        <f aca="false">Assumptions!$C$15*(Q31+R31+T31+U31)</f>
        <v>0.0635032688097529</v>
      </c>
      <c r="J32" s="33" t="n">
        <f aca="false">H32+I32</f>
        <v>1.56350326880975</v>
      </c>
      <c r="K32" s="33" t="n">
        <f aca="false">J32*Assumptions!$C$18</f>
        <v>0</v>
      </c>
      <c r="L32" s="33" t="n">
        <f aca="false">(J32-K32)*Assumptions!$C$17</f>
        <v>1.09445228816683</v>
      </c>
      <c r="M32" s="33" t="n">
        <f aca="false">J32-K32-L32</f>
        <v>0.469050980642926</v>
      </c>
      <c r="N32" s="33" t="n">
        <f aca="false">L32*Assumptions!$C$19</f>
        <v>0.164167843225024</v>
      </c>
      <c r="O32" s="33" t="n">
        <f aca="false">L32-N32</f>
        <v>0.930284444941803</v>
      </c>
      <c r="P32" s="33" t="n">
        <f aca="false">O20*(1-Assumptions!$C$20)^12</f>
        <v>0.577048039628275</v>
      </c>
      <c r="Q32" s="33" t="n">
        <f aca="false">Q31*(1-Assumptions!$C$20)+O32-P32</f>
        <v>8.70956042115313</v>
      </c>
      <c r="R32" s="33" t="n">
        <f aca="false">R31*(1-Assumptions!$C$22)+P32*(1-Assumptions!$C$21)</f>
        <v>3.44549101337138</v>
      </c>
      <c r="S32" s="33" t="n">
        <f aca="false">Q32+R32</f>
        <v>12.1550514345245</v>
      </c>
      <c r="T32" s="33" t="n">
        <f aca="false">T31*(1-Assumptions!$C$24)+M32*Assumptions!$C$23</f>
        <v>1.00763417405</v>
      </c>
      <c r="U32" s="33" t="n">
        <f aca="false">U31*(1-Assumptions!$C$25)+K32</f>
        <v>0</v>
      </c>
      <c r="V32" s="33" t="n">
        <f aca="false">V31+M32</f>
        <v>9.07996597029673</v>
      </c>
      <c r="W32" s="33" t="n">
        <f aca="false">N32+Q31*Assumptions!$C$20+P32*Assumptions!$C$21+R31*Assumptions!$C$22+T31*Assumptions!$C$24+U31*Assumptions!$C$25</f>
        <v>0.72623063767147</v>
      </c>
      <c r="X32" s="33" t="n">
        <f aca="false">IF(A32&lt;Assumptions!$C$34,0,Assumptions!$C$36*MIN(1,(A32-Assumptions!$C$34+1)/Assumptions!$C$35))*(S32+T32)</f>
        <v>1.31626856085745</v>
      </c>
      <c r="Y32" s="31" t="n">
        <f aca="false">IF(Y31&gt;0,Y31,IF(AND(A32&gt;=Assumptions!$C$41,Q31+R31+T31&gt;=Assumptions!$C$40),A32,0))</f>
        <v>0</v>
      </c>
      <c r="Z32" s="33" t="n">
        <f aca="false">IF(Y32&gt;0,Assumptions!$C$42*MIN(1,(A32-Y32+1)/Assumptions!$C$43),0)*(S32+T32)</f>
        <v>0</v>
      </c>
      <c r="AA32" s="35" t="n">
        <f aca="false">(1+Assumptions!$C$32)^(C32-1)</f>
        <v>1</v>
      </c>
      <c r="AB32" s="36" t="n">
        <f aca="false">O32*Assumptions!$C$27*AA32</f>
        <v>92.0981600492385</v>
      </c>
      <c r="AC32" s="36" t="n">
        <f aca="false">(Q31+R31)*Assumptions!$C$28*AA32</f>
        <v>1161.12155880096</v>
      </c>
      <c r="AD32" s="36" t="n">
        <f aca="false">M32*Assumptions!$C$29*AA32</f>
        <v>234.05643934082</v>
      </c>
      <c r="AE32" s="36" t="n">
        <f aca="false">T31*Assumptions!$C$30*AA32</f>
        <v>76.8001002721191</v>
      </c>
      <c r="AF32" s="36" t="n">
        <f aca="false">U31*Assumptions!$C$31*AA32</f>
        <v>0</v>
      </c>
      <c r="AG32" s="36" t="n">
        <f aca="false">X32*Assumptions!$C$37*Assumptions!$C$38</f>
        <v>65.8134280428726</v>
      </c>
      <c r="AH32" s="36" t="n">
        <f aca="false">Z32*Assumptions!$C$44*Assumptions!$C$45</f>
        <v>0</v>
      </c>
      <c r="AI32" s="36" t="n">
        <f aca="false">SUM(AB32:AH32)</f>
        <v>1629.88968650601</v>
      </c>
      <c r="AJ32" s="36" t="n">
        <f aca="false">(S32*Assumptions!$C$28+T32*Assumptions!$C$30+U32*Assumptions!$C$31)*AA32+AG32+AH32</f>
        <v>1348.76661981075</v>
      </c>
      <c r="AK32" s="36" t="n">
        <f aca="false">(AI32-AH32)*Assumptions!$C$49</f>
        <v>65.1955874602403</v>
      </c>
      <c r="AL32" s="36" t="n">
        <f aca="false">(AC32+AE32+AF32)*Assumptions!$C$50</f>
        <v>8.66545161351153</v>
      </c>
      <c r="AM32" s="36" t="n">
        <f aca="false">S32*Assumptions!$C$51+M32*Assumptions!$C$52</f>
        <v>22.2295790027995</v>
      </c>
      <c r="AN32" s="36" t="n">
        <f aca="false">Assumptions!$C$53+Assumptions!$C$54*(S32+T32+U32)</f>
        <v>252.650742434298</v>
      </c>
      <c r="AO32" s="36" t="n">
        <f aca="false">IF(C32&gt;=2,Assumptions!$C$55,0)</f>
        <v>100</v>
      </c>
      <c r="AP32" s="33" t="n">
        <f aca="false">E32*Assumptions!$C$60/60+F32*Assumptions!$C$61+J32*Assumptions!$C$62+(S32+T32)*Assumptions!$C$63+X32*Assumptions!$C$64+Z32*Assumptions!$C$65+U32*Assumptions!$C$66+Assumptions!$C$67*52/12</f>
        <v>79.3236171981978</v>
      </c>
      <c r="AQ32" s="33" t="n">
        <f aca="false">IF(BC31=1,Assumptions!$C$69,Assumptions!$C$68)*52/12</f>
        <v>78</v>
      </c>
      <c r="AR32" s="33" t="n">
        <f aca="false">MAX(0,AP32-AQ32)</f>
        <v>1.32361719819779</v>
      </c>
      <c r="AS32" s="36" t="n">
        <f aca="false">AR32*Assumptions!$C$70*Assumptions!$C$71</f>
        <v>17.2070235765713</v>
      </c>
      <c r="AT32" s="36" t="n">
        <f aca="false">Assumptions!$C$56/12</f>
        <v>100</v>
      </c>
      <c r="AU32" s="36" t="n">
        <f aca="false">IF(A32=1,Assumptions!$C$57,0)+Assumptions!$C$58</f>
        <v>60</v>
      </c>
      <c r="AV32" s="36" t="n">
        <f aca="false">IF(AND(Y32&gt;0,Y32=A32),Assumptions!$C$46,0)+IF(Y32&gt;0,Assumptions!$C$47,0)</f>
        <v>0</v>
      </c>
      <c r="AW32" s="36" t="n">
        <f aca="false">AK32+AL32+AM32+AN32+AO32+AS32+AT32+AU32+AV32</f>
        <v>625.948384087421</v>
      </c>
      <c r="AX32" s="36" t="n">
        <f aca="false">AI32-AW32</f>
        <v>1003.94130241859</v>
      </c>
      <c r="AY32" s="36" t="n">
        <f aca="false">MAX(0,AX32)*Assumptions!$C$73</f>
        <v>301.182390725576</v>
      </c>
      <c r="AZ32" s="36" t="n">
        <f aca="false">AX32-AY32</f>
        <v>702.758911693011</v>
      </c>
      <c r="BA32" s="36" t="n">
        <f aca="false">BA31+AZ32</f>
        <v>6484.66083074979</v>
      </c>
      <c r="BB32" s="31" t="n">
        <f aca="false">IF(AZ32&gt;=Assumptions!$C$74/12,BB31+1,0)</f>
        <v>0</v>
      </c>
      <c r="BC32" s="31" t="n">
        <f aca="false">IF(OR(BC31=1,BB32&gt;=3),1,0)</f>
        <v>0</v>
      </c>
      <c r="BD32" s="31" t="n">
        <f aca="false">IF(AZ32&gt;=Assumptions!$C$75/12,BD31+1,0)</f>
        <v>0</v>
      </c>
      <c r="BE32" s="33" t="n">
        <f aca="false">AP32*12/52</f>
        <v>18.305450122661</v>
      </c>
      <c r="BF32" s="33" t="n">
        <f aca="false">AR32*12/52</f>
        <v>0.30545012266103</v>
      </c>
      <c r="BG32" s="31" t="n">
        <f aca="false">IF(AX32&gt;0,A32,999)</f>
        <v>28</v>
      </c>
      <c r="BH32" s="31" t="n">
        <f aca="false">IF(BB32&gt;=3,A32,999)</f>
        <v>999</v>
      </c>
      <c r="BI32" s="31" t="n">
        <f aca="false">IF(BD32&gt;=3,A32,999)</f>
        <v>999</v>
      </c>
    </row>
    <row r="33" customFormat="false" ht="15" hidden="false" customHeight="false" outlineLevel="0" collapsed="false">
      <c r="A33" s="31" t="n">
        <v>29</v>
      </c>
      <c r="B33" s="32" t="n">
        <f aca="false">DATE(2026,10+A33,1)</f>
        <v>47178</v>
      </c>
      <c r="C33" s="31" t="n">
        <f aca="false">INT((A33-1)/12)+1</f>
        <v>3</v>
      </c>
      <c r="D33" s="31" t="n">
        <f aca="false">IF(C33=1,Assumptions!$C$7,IF(C33=2,Assumptions!$C$8,Assumptions!$C$9))</f>
        <v>15</v>
      </c>
      <c r="E33" s="31" t="n">
        <f aca="false">D33*Assumptions!$C$10</f>
        <v>300</v>
      </c>
      <c r="F33" s="33" t="n">
        <f aca="false">E33*Assumptions!$C$11</f>
        <v>15</v>
      </c>
      <c r="G33" s="34" t="n">
        <f aca="false">MIN(1,Assumptions!$C$13+(1-Assumptions!$C$13)*(A33-1)/Assumptions!$C$14)</f>
        <v>1</v>
      </c>
      <c r="H33" s="33" t="n">
        <f aca="false">F33*Assumptions!$C$12*G33</f>
        <v>1.5</v>
      </c>
      <c r="I33" s="33" t="n">
        <f aca="false">Assumptions!$C$15*(Q32+R32+T32+U32)</f>
        <v>0.0658134280428726</v>
      </c>
      <c r="J33" s="33" t="n">
        <f aca="false">H33+I33</f>
        <v>1.56581342804287</v>
      </c>
      <c r="K33" s="33" t="n">
        <f aca="false">J33*Assumptions!$C$18</f>
        <v>0</v>
      </c>
      <c r="L33" s="33" t="n">
        <f aca="false">(J33-K33)*Assumptions!$C$17</f>
        <v>1.09606939963001</v>
      </c>
      <c r="M33" s="33" t="n">
        <f aca="false">J33-K33-L33</f>
        <v>0.469744028412862</v>
      </c>
      <c r="N33" s="33" t="n">
        <f aca="false">L33*Assumptions!$C$19</f>
        <v>0.164410409944502</v>
      </c>
      <c r="O33" s="33" t="n">
        <f aca="false">L33-N33</f>
        <v>0.931658989685509</v>
      </c>
      <c r="P33" s="33" t="n">
        <f aca="false">O21*(1-Assumptions!$C$20)^12</f>
        <v>0.578322092614131</v>
      </c>
      <c r="Q33" s="33" t="n">
        <f aca="false">Q32*(1-Assumptions!$C$20)+O33-P33</f>
        <v>8.88870610980145</v>
      </c>
      <c r="R33" s="33" t="n">
        <f aca="false">R32*(1-Assumptions!$C$22)+P33*(1-Assumptions!$C$21)</f>
        <v>3.6780419275327</v>
      </c>
      <c r="S33" s="33" t="n">
        <f aca="false">Q33+R33</f>
        <v>12.5667480373341</v>
      </c>
      <c r="T33" s="33" t="n">
        <f aca="false">T32*(1-Assumptions!$C$24)+M33*Assumptions!$C$23</f>
        <v>1.04112492928957</v>
      </c>
      <c r="U33" s="33" t="n">
        <f aca="false">U32*(1-Assumptions!$C$25)+K33</f>
        <v>0</v>
      </c>
      <c r="V33" s="33" t="n">
        <f aca="false">V32+M33</f>
        <v>9.54970999870959</v>
      </c>
      <c r="W33" s="33" t="n">
        <f aca="false">N33+Q32*Assumptions!$C$20+P33*Assumptions!$C$21+R32*Assumptions!$C$22+T32*Assumptions!$C$24+U32*Assumptions!$C$25</f>
        <v>0.744830847263373</v>
      </c>
      <c r="X33" s="33" t="n">
        <f aca="false">IF(A33&lt;Assumptions!$C$34,0,Assumptions!$C$36*MIN(1,(A33-Assumptions!$C$34+1)/Assumptions!$C$35))*(S33+T33)</f>
        <v>1.36078729666237</v>
      </c>
      <c r="Y33" s="31" t="n">
        <f aca="false">IF(Y32&gt;0,Y32,IF(AND(A33&gt;=Assumptions!$C$41,Q32+R32+T32&gt;=Assumptions!$C$40),A33,0))</f>
        <v>0</v>
      </c>
      <c r="Z33" s="33" t="n">
        <f aca="false">IF(Y33&gt;0,Assumptions!$C$42*MIN(1,(A33-Y33+1)/Assumptions!$C$43),0)*(S33+T33)</f>
        <v>0</v>
      </c>
      <c r="AA33" s="35" t="n">
        <f aca="false">(1+Assumptions!$C$32)^(C33-1)</f>
        <v>1</v>
      </c>
      <c r="AB33" s="36" t="n">
        <f aca="false">O33*Assumptions!$C$27*AA33</f>
        <v>92.2342399788654</v>
      </c>
      <c r="AC33" s="36" t="n">
        <f aca="false">(Q32+R32)*Assumptions!$C$28*AA33</f>
        <v>1203.35009201793</v>
      </c>
      <c r="AD33" s="36" t="n">
        <f aca="false">M33*Assumptions!$C$29*AA33</f>
        <v>234.402270178018</v>
      </c>
      <c r="AE33" s="36" t="n">
        <f aca="false">T32*Assumptions!$C$30*AA33</f>
        <v>79.6030997499502</v>
      </c>
      <c r="AF33" s="36" t="n">
        <f aca="false">U32*Assumptions!$C$31*AA33</f>
        <v>0</v>
      </c>
      <c r="AG33" s="36" t="n">
        <f aca="false">X33*Assumptions!$C$37*Assumptions!$C$38</f>
        <v>68.0393648331186</v>
      </c>
      <c r="AH33" s="36" t="n">
        <f aca="false">Z33*Assumptions!$C$44*Assumptions!$C$45</f>
        <v>0</v>
      </c>
      <c r="AI33" s="36" t="n">
        <f aca="false">SUM(AB33:AH33)</f>
        <v>1677.62906675788</v>
      </c>
      <c r="AJ33" s="36" t="n">
        <f aca="false">(S33*Assumptions!$C$28+T33*Assumptions!$C$30+U33*Assumptions!$C$31)*AA33+AG33+AH33</f>
        <v>1394.39628994308</v>
      </c>
      <c r="AK33" s="36" t="n">
        <f aca="false">(AI33-AH33)*Assumptions!$C$49</f>
        <v>67.1051626703151</v>
      </c>
      <c r="AL33" s="36" t="n">
        <f aca="false">(AC33+AE33+AF33)*Assumptions!$C$50</f>
        <v>8.98067234237514</v>
      </c>
      <c r="AM33" s="36" t="n">
        <f aca="false">S33*Assumptions!$C$51+M33*Assumptions!$C$52</f>
        <v>22.7545954728606</v>
      </c>
      <c r="AN33" s="36" t="n">
        <f aca="false">Assumptions!$C$53+Assumptions!$C$54*(S33+T33+U33)</f>
        <v>254.431491866495</v>
      </c>
      <c r="AO33" s="36" t="n">
        <f aca="false">IF(C33&gt;=2,Assumptions!$C$55,0)</f>
        <v>100</v>
      </c>
      <c r="AP33" s="33" t="n">
        <f aca="false">E33*Assumptions!$C$60/60+F33*Assumptions!$C$61+J33*Assumptions!$C$62+(S33+T33)*Assumptions!$C$63+X33*Assumptions!$C$64+Z33*Assumptions!$C$65+U33*Assumptions!$C$66+Assumptions!$C$67*52/12</f>
        <v>80.287700495703</v>
      </c>
      <c r="AQ33" s="33" t="n">
        <f aca="false">IF(BC32=1,Assumptions!$C$69,Assumptions!$C$68)*52/12</f>
        <v>78</v>
      </c>
      <c r="AR33" s="33" t="n">
        <f aca="false">MAX(0,AP33-AQ33)</f>
        <v>2.28770049570295</v>
      </c>
      <c r="AS33" s="36" t="n">
        <f aca="false">AR33*Assumptions!$C$70*Assumptions!$C$71</f>
        <v>29.7401064441384</v>
      </c>
      <c r="AT33" s="36" t="n">
        <f aca="false">Assumptions!$C$56/12</f>
        <v>100</v>
      </c>
      <c r="AU33" s="36" t="n">
        <f aca="false">IF(A33=1,Assumptions!$C$57,0)+Assumptions!$C$58</f>
        <v>60</v>
      </c>
      <c r="AV33" s="36" t="n">
        <f aca="false">IF(AND(Y33&gt;0,Y33=A33),Assumptions!$C$46,0)+IF(Y33&gt;0,Assumptions!$C$47,0)</f>
        <v>0</v>
      </c>
      <c r="AW33" s="36" t="n">
        <f aca="false">AK33+AL33+AM33+AN33+AO33+AS33+AT33+AU33+AV33</f>
        <v>643.012028796184</v>
      </c>
      <c r="AX33" s="36" t="n">
        <f aca="false">AI33-AW33</f>
        <v>1034.61703796169</v>
      </c>
      <c r="AY33" s="36" t="n">
        <f aca="false">MAX(0,AX33)*Assumptions!$C$73</f>
        <v>310.385111388508</v>
      </c>
      <c r="AZ33" s="36" t="n">
        <f aca="false">AX33-AY33</f>
        <v>724.231926573186</v>
      </c>
      <c r="BA33" s="36" t="n">
        <f aca="false">BA32+AZ33</f>
        <v>7208.89275732298</v>
      </c>
      <c r="BB33" s="31" t="n">
        <f aca="false">IF(AZ33&gt;=Assumptions!$C$74/12,BB32+1,0)</f>
        <v>0</v>
      </c>
      <c r="BC33" s="31" t="n">
        <f aca="false">IF(OR(BC32=1,BB33&gt;=3),1,0)</f>
        <v>0</v>
      </c>
      <c r="BD33" s="31" t="n">
        <f aca="false">IF(AZ33&gt;=Assumptions!$C$75/12,BD32+1,0)</f>
        <v>0</v>
      </c>
      <c r="BE33" s="33" t="n">
        <f aca="false">AP33*12/52</f>
        <v>18.5279308836238</v>
      </c>
      <c r="BF33" s="33" t="n">
        <f aca="false">AR33*12/52</f>
        <v>0.527930883623758</v>
      </c>
      <c r="BG33" s="31" t="n">
        <f aca="false">IF(AX33&gt;0,A33,999)</f>
        <v>29</v>
      </c>
      <c r="BH33" s="31" t="n">
        <f aca="false">IF(BB33&gt;=3,A33,999)</f>
        <v>999</v>
      </c>
      <c r="BI33" s="31" t="n">
        <f aca="false">IF(BD33&gt;=3,A33,999)</f>
        <v>999</v>
      </c>
    </row>
    <row r="34" customFormat="false" ht="15" hidden="false" customHeight="false" outlineLevel="0" collapsed="false">
      <c r="A34" s="31" t="n">
        <v>30</v>
      </c>
      <c r="B34" s="32" t="n">
        <f aca="false">DATE(2026,10+A34,1)</f>
        <v>47209</v>
      </c>
      <c r="C34" s="31" t="n">
        <f aca="false">INT((A34-1)/12)+1</f>
        <v>3</v>
      </c>
      <c r="D34" s="31" t="n">
        <f aca="false">IF(C34=1,Assumptions!$C$7,IF(C34=2,Assumptions!$C$8,Assumptions!$C$9))</f>
        <v>15</v>
      </c>
      <c r="E34" s="31" t="n">
        <f aca="false">D34*Assumptions!$C$10</f>
        <v>300</v>
      </c>
      <c r="F34" s="33" t="n">
        <f aca="false">E34*Assumptions!$C$11</f>
        <v>15</v>
      </c>
      <c r="G34" s="34" t="n">
        <f aca="false">MIN(1,Assumptions!$C$13+(1-Assumptions!$C$13)*(A34-1)/Assumptions!$C$14)</f>
        <v>1</v>
      </c>
      <c r="H34" s="33" t="n">
        <f aca="false">F34*Assumptions!$C$12*G34</f>
        <v>1.5</v>
      </c>
      <c r="I34" s="33" t="n">
        <f aca="false">Assumptions!$C$15*(Q33+R33+T33+U33)</f>
        <v>0.0680393648331186</v>
      </c>
      <c r="J34" s="33" t="n">
        <f aca="false">H34+I34</f>
        <v>1.56803936483312</v>
      </c>
      <c r="K34" s="33" t="n">
        <f aca="false">J34*Assumptions!$C$18</f>
        <v>0</v>
      </c>
      <c r="L34" s="33" t="n">
        <f aca="false">(J34-K34)*Assumptions!$C$17</f>
        <v>1.09762755538318</v>
      </c>
      <c r="M34" s="33" t="n">
        <f aca="false">J34-K34-L34</f>
        <v>0.470411809449936</v>
      </c>
      <c r="N34" s="33" t="n">
        <f aca="false">L34*Assumptions!$C$19</f>
        <v>0.164644133307477</v>
      </c>
      <c r="O34" s="33" t="n">
        <f aca="false">L34-N34</f>
        <v>0.932983422075706</v>
      </c>
      <c r="P34" s="33" t="n">
        <f aca="false">O22*(1-Assumptions!$C$20)^12</f>
        <v>0.579536329341701</v>
      </c>
      <c r="Q34" s="33" t="n">
        <f aca="false">Q33*(1-Assumptions!$C$20)+O34-P34</f>
        <v>9.06437908033942</v>
      </c>
      <c r="R34" s="33" t="n">
        <f aca="false">R33*(1-Assumptions!$C$22)+P34*(1-Assumptions!$C$21)</f>
        <v>3.89981526169525</v>
      </c>
      <c r="S34" s="33" t="n">
        <f aca="false">Q34+R34</f>
        <v>12.9641943420347</v>
      </c>
      <c r="T34" s="33" t="n">
        <f aca="false">T33*(1-Assumptions!$C$24)+M34*Assumptions!$C$23</f>
        <v>1.07273979542219</v>
      </c>
      <c r="U34" s="33" t="n">
        <f aca="false">U33*(1-Assumptions!$C$25)+K34</f>
        <v>0</v>
      </c>
      <c r="V34" s="33" t="n">
        <f aca="false">V33+M34</f>
        <v>10.0201218081595</v>
      </c>
      <c r="W34" s="33" t="n">
        <f aca="false">N34+Q33*Assumptions!$C$20+P34*Assumptions!$C$21+R33*Assumptions!$C$22+T33*Assumptions!$C$24+U33*Assumptions!$C$25</f>
        <v>0.762648746440026</v>
      </c>
      <c r="X34" s="33" t="n">
        <f aca="false">IF(A34&lt;Assumptions!$C$34,0,Assumptions!$C$36*MIN(1,(A34-Assumptions!$C$34+1)/Assumptions!$C$35))*(S34+T34)</f>
        <v>1.40369341374569</v>
      </c>
      <c r="Y34" s="31" t="n">
        <f aca="false">IF(Y33&gt;0,Y33,IF(AND(A34&gt;=Assumptions!$C$41,Q33+R33+T33&gt;=Assumptions!$C$40),A34,0))</f>
        <v>0</v>
      </c>
      <c r="Z34" s="33" t="n">
        <f aca="false">IF(Y34&gt;0,Assumptions!$C$42*MIN(1,(A34-Y34+1)/Assumptions!$C$43),0)*(S34+T34)</f>
        <v>0</v>
      </c>
      <c r="AA34" s="35" t="n">
        <f aca="false">(1+Assumptions!$C$32)^(C34-1)</f>
        <v>1</v>
      </c>
      <c r="AB34" s="36" t="n">
        <f aca="false">O34*Assumptions!$C$27*AA34</f>
        <v>92.3653587854949</v>
      </c>
      <c r="AC34" s="36" t="n">
        <f aca="false">(Q33+R33)*Assumptions!$C$28*AA34</f>
        <v>1244.10805569608</v>
      </c>
      <c r="AD34" s="36" t="n">
        <f aca="false">M34*Assumptions!$C$29*AA34</f>
        <v>234.735492915518</v>
      </c>
      <c r="AE34" s="36" t="n">
        <f aca="false">T33*Assumptions!$C$30*AA34</f>
        <v>82.2488694138764</v>
      </c>
      <c r="AF34" s="36" t="n">
        <f aca="false">U33*Assumptions!$C$31*AA34</f>
        <v>0</v>
      </c>
      <c r="AG34" s="36" t="n">
        <f aca="false">X34*Assumptions!$C$37*Assumptions!$C$38</f>
        <v>70.1846706872843</v>
      </c>
      <c r="AH34" s="36" t="n">
        <f aca="false">Z34*Assumptions!$C$44*Assumptions!$C$45</f>
        <v>0</v>
      </c>
      <c r="AI34" s="36" t="n">
        <f aca="false">SUM(AB34:AH34)</f>
        <v>1723.64244749825</v>
      </c>
      <c r="AJ34" s="36" t="n">
        <f aca="false">(S34*Assumptions!$C$28+T34*Assumptions!$C$30+U34*Assumptions!$C$31)*AA34+AG34+AH34</f>
        <v>1438.38635438707</v>
      </c>
      <c r="AK34" s="36" t="n">
        <f aca="false">(AI34-AH34)*Assumptions!$C$49</f>
        <v>68.9456978999302</v>
      </c>
      <c r="AL34" s="36" t="n">
        <f aca="false">(AC34+AE34+AF34)*Assumptions!$C$50</f>
        <v>9.2844984757697</v>
      </c>
      <c r="AM34" s="36" t="n">
        <f aca="false">S34*Assumptions!$C$51+M34*Assumptions!$C$52</f>
        <v>23.2614200692924</v>
      </c>
      <c r="AN34" s="36" t="n">
        <f aca="false">Assumptions!$C$53+Assumptions!$C$54*(S34+T34+U34)</f>
        <v>256.147736549827</v>
      </c>
      <c r="AO34" s="36" t="n">
        <f aca="false">IF(C34&gt;=2,Assumptions!$C$55,0)</f>
        <v>100</v>
      </c>
      <c r="AP34" s="33" t="n">
        <f aca="false">E34*Assumptions!$C$60/60+F34*Assumptions!$C$61+J34*Assumptions!$C$62+(S34+T34)*Assumptions!$C$63+X34*Assumptions!$C$64+Z34*Assumptions!$C$65+U34*Assumptions!$C$66+Assumptions!$C$67*52/12</f>
        <v>81.2168598233649</v>
      </c>
      <c r="AQ34" s="33" t="n">
        <f aca="false">IF(BC33=1,Assumptions!$C$69,Assumptions!$C$68)*52/12</f>
        <v>78</v>
      </c>
      <c r="AR34" s="33" t="n">
        <f aca="false">MAX(0,AP34-AQ34)</f>
        <v>3.21685982336494</v>
      </c>
      <c r="AS34" s="36" t="n">
        <f aca="false">AR34*Assumptions!$C$70*Assumptions!$C$71</f>
        <v>41.8191777037442</v>
      </c>
      <c r="AT34" s="36" t="n">
        <f aca="false">Assumptions!$C$56/12</f>
        <v>100</v>
      </c>
      <c r="AU34" s="36" t="n">
        <f aca="false">IF(A34=1,Assumptions!$C$57,0)+Assumptions!$C$58</f>
        <v>60</v>
      </c>
      <c r="AV34" s="36" t="n">
        <f aca="false">IF(AND(Y34&gt;0,Y34=A34),Assumptions!$C$46,0)+IF(Y34&gt;0,Assumptions!$C$47,0)</f>
        <v>0</v>
      </c>
      <c r="AW34" s="36" t="n">
        <f aca="false">AK34+AL34+AM34+AN34+AO34+AS34+AT34+AU34+AV34</f>
        <v>659.458530698564</v>
      </c>
      <c r="AX34" s="36" t="n">
        <f aca="false">AI34-AW34</f>
        <v>1064.18391679969</v>
      </c>
      <c r="AY34" s="36" t="n">
        <f aca="false">MAX(0,AX34)*Assumptions!$C$73</f>
        <v>319.255175039907</v>
      </c>
      <c r="AZ34" s="36" t="n">
        <f aca="false">AX34-AY34</f>
        <v>744.928741759783</v>
      </c>
      <c r="BA34" s="36" t="n">
        <f aca="false">BA33+AZ34</f>
        <v>7953.82149908276</v>
      </c>
      <c r="BB34" s="31" t="n">
        <f aca="false">IF(AZ34&gt;=Assumptions!$C$74/12,BB33+1,0)</f>
        <v>0</v>
      </c>
      <c r="BC34" s="31" t="n">
        <f aca="false">IF(OR(BC33=1,BB34&gt;=3),1,0)</f>
        <v>0</v>
      </c>
      <c r="BD34" s="31" t="n">
        <f aca="false">IF(AZ34&gt;=Assumptions!$C$75/12,BD33+1,0)</f>
        <v>0</v>
      </c>
      <c r="BE34" s="33" t="n">
        <f aca="false">AP34*12/52</f>
        <v>18.7423522669304</v>
      </c>
      <c r="BF34" s="33" t="n">
        <f aca="false">AR34*12/52</f>
        <v>0.742352266930371</v>
      </c>
      <c r="BG34" s="31" t="n">
        <f aca="false">IF(AX34&gt;0,A34,999)</f>
        <v>30</v>
      </c>
      <c r="BH34" s="31" t="n">
        <f aca="false">IF(BB34&gt;=3,A34,999)</f>
        <v>999</v>
      </c>
      <c r="BI34" s="31" t="n">
        <f aca="false">IF(BD34&gt;=3,A34,999)</f>
        <v>999</v>
      </c>
    </row>
    <row r="35" customFormat="false" ht="15" hidden="false" customHeight="false" outlineLevel="0" collapsed="false">
      <c r="A35" s="31" t="n">
        <v>31</v>
      </c>
      <c r="B35" s="32" t="n">
        <f aca="false">DATE(2026,10+A35,1)</f>
        <v>47239</v>
      </c>
      <c r="C35" s="31" t="n">
        <f aca="false">INT((A35-1)/12)+1</f>
        <v>3</v>
      </c>
      <c r="D35" s="31" t="n">
        <f aca="false">IF(C35=1,Assumptions!$C$7,IF(C35=2,Assumptions!$C$8,Assumptions!$C$9))</f>
        <v>15</v>
      </c>
      <c r="E35" s="31" t="n">
        <f aca="false">D35*Assumptions!$C$10</f>
        <v>300</v>
      </c>
      <c r="F35" s="33" t="n">
        <f aca="false">E35*Assumptions!$C$11</f>
        <v>15</v>
      </c>
      <c r="G35" s="34" t="n">
        <f aca="false">MIN(1,Assumptions!$C$13+(1-Assumptions!$C$13)*(A35-1)/Assumptions!$C$14)</f>
        <v>1</v>
      </c>
      <c r="H35" s="33" t="n">
        <f aca="false">F35*Assumptions!$C$12*G35</f>
        <v>1.5</v>
      </c>
      <c r="I35" s="33" t="n">
        <f aca="false">Assumptions!$C$15*(Q34+R34+T34+U34)</f>
        <v>0.0701846706872843</v>
      </c>
      <c r="J35" s="33" t="n">
        <f aca="false">H35+I35</f>
        <v>1.57018467068728</v>
      </c>
      <c r="K35" s="33" t="n">
        <f aca="false">J35*Assumptions!$C$18</f>
        <v>0</v>
      </c>
      <c r="L35" s="33" t="n">
        <f aca="false">(J35-K35)*Assumptions!$C$17</f>
        <v>1.0991292694811</v>
      </c>
      <c r="M35" s="33" t="n">
        <f aca="false">J35-K35-L35</f>
        <v>0.471055401206185</v>
      </c>
      <c r="N35" s="33" t="n">
        <f aca="false">L35*Assumptions!$C$19</f>
        <v>0.164869390422165</v>
      </c>
      <c r="O35" s="33" t="n">
        <f aca="false">L35-N35</f>
        <v>0.934259879058934</v>
      </c>
      <c r="P35" s="33" t="n">
        <f aca="false">O23*(1-Assumptions!$C$20)^12</f>
        <v>0.580690949633175</v>
      </c>
      <c r="Q35" s="33" t="n">
        <f aca="false">Q34*(1-Assumptions!$C$20)+O35-P35</f>
        <v>9.2366604281584</v>
      </c>
      <c r="R35" s="33" t="n">
        <f aca="false">R34*(1-Assumptions!$C$22)+P35*(1-Assumptions!$C$21)</f>
        <v>4.11130816335371</v>
      </c>
      <c r="S35" s="33" t="n">
        <f aca="false">Q35+R35</f>
        <v>13.3479685915121</v>
      </c>
      <c r="T35" s="33" t="n">
        <f aca="false">T34*(1-Assumptions!$C$24)+M35*Assumptions!$C$23</f>
        <v>1.10258648793809</v>
      </c>
      <c r="U35" s="33" t="n">
        <f aca="false">U34*(1-Assumptions!$C$25)+K35</f>
        <v>0</v>
      </c>
      <c r="V35" s="33" t="n">
        <f aca="false">V34+M35</f>
        <v>10.4911772093657</v>
      </c>
      <c r="W35" s="33" t="n">
        <f aca="false">N35+Q34*Assumptions!$C$20+P35*Assumptions!$C$21+R34*Assumptions!$C$22+T34*Assumptions!$C$24+U34*Assumptions!$C$25</f>
        <v>0.779719407729</v>
      </c>
      <c r="X35" s="33" t="n">
        <f aca="false">IF(A35&lt;Assumptions!$C$34,0,Assumptions!$C$36*MIN(1,(A35-Assumptions!$C$34+1)/Assumptions!$C$35))*(S35+T35)</f>
        <v>1.44505550794502</v>
      </c>
      <c r="Y35" s="31" t="n">
        <f aca="false">IF(Y34&gt;0,Y34,IF(AND(A35&gt;=Assumptions!$C$41,Q34+R34+T34&gt;=Assumptions!$C$40),A35,0))</f>
        <v>0</v>
      </c>
      <c r="Z35" s="33" t="n">
        <f aca="false">IF(Y35&gt;0,Assumptions!$C$42*MIN(1,(A35-Y35+1)/Assumptions!$C$43),0)*(S35+T35)</f>
        <v>0</v>
      </c>
      <c r="AA35" s="35" t="n">
        <f aca="false">(1+Assumptions!$C$32)^(C35-1)</f>
        <v>1</v>
      </c>
      <c r="AB35" s="36" t="n">
        <f aca="false">O35*Assumptions!$C$27*AA35</f>
        <v>92.4917280268345</v>
      </c>
      <c r="AC35" s="36" t="n">
        <f aca="false">(Q34+R34)*Assumptions!$C$28*AA35</f>
        <v>1283.45523986143</v>
      </c>
      <c r="AD35" s="36" t="n">
        <f aca="false">M35*Assumptions!$C$29*AA35</f>
        <v>235.056645201887</v>
      </c>
      <c r="AE35" s="36" t="n">
        <f aca="false">T34*Assumptions!$C$30*AA35</f>
        <v>84.7464438383528</v>
      </c>
      <c r="AF35" s="36" t="n">
        <f aca="false">U34*Assumptions!$C$31*AA35</f>
        <v>0</v>
      </c>
      <c r="AG35" s="36" t="n">
        <f aca="false">X35*Assumptions!$C$37*Assumptions!$C$38</f>
        <v>72.252775397251</v>
      </c>
      <c r="AH35" s="36" t="n">
        <f aca="false">Z35*Assumptions!$C$44*Assumptions!$C$45</f>
        <v>0</v>
      </c>
      <c r="AI35" s="36" t="n">
        <f aca="false">SUM(AB35:AH35)</f>
        <v>1768.00283232576</v>
      </c>
      <c r="AJ35" s="36" t="n">
        <f aca="false">(S35*Assumptions!$C$28+T35*Assumptions!$C$30+U35*Assumptions!$C$31)*AA35+AG35+AH35</f>
        <v>1480.80599850406</v>
      </c>
      <c r="AK35" s="36" t="n">
        <f aca="false">(AI35-AH35)*Assumptions!$C$49</f>
        <v>70.7201132930303</v>
      </c>
      <c r="AL35" s="36" t="n">
        <f aca="false">(AC35+AE35+AF35)*Assumptions!$C$50</f>
        <v>9.5774117858985</v>
      </c>
      <c r="AM35" s="36" t="n">
        <f aca="false">S35*Assumptions!$C$51+M35*Assumptions!$C$52</f>
        <v>23.7507917574829</v>
      </c>
      <c r="AN35" s="36" t="n">
        <f aca="false">Assumptions!$C$53+Assumptions!$C$54*(S35+T35+U35)</f>
        <v>257.802220317801</v>
      </c>
      <c r="AO35" s="36" t="n">
        <f aca="false">IF(C35&gt;=2,Assumptions!$C$55,0)</f>
        <v>100</v>
      </c>
      <c r="AP35" s="33" t="n">
        <f aca="false">E35*Assumptions!$C$60/60+F35*Assumptions!$C$61+J35*Assumptions!$C$62+(S35+T35)*Assumptions!$C$63+X35*Assumptions!$C$64+Z35*Assumptions!$C$65+U35*Assumptions!$C$66+Assumptions!$C$67*52/12</f>
        <v>82.1125807662131</v>
      </c>
      <c r="AQ35" s="33" t="n">
        <f aca="false">IF(BC34=1,Assumptions!$C$69,Assumptions!$C$68)*52/12</f>
        <v>78</v>
      </c>
      <c r="AR35" s="33" t="n">
        <f aca="false">MAX(0,AP35-AQ35)</f>
        <v>4.11258076621311</v>
      </c>
      <c r="AS35" s="36" t="n">
        <f aca="false">AR35*Assumptions!$C$70*Assumptions!$C$71</f>
        <v>53.4635499607705</v>
      </c>
      <c r="AT35" s="36" t="n">
        <f aca="false">Assumptions!$C$56/12</f>
        <v>100</v>
      </c>
      <c r="AU35" s="36" t="n">
        <f aca="false">IF(A35=1,Assumptions!$C$57,0)+Assumptions!$C$58</f>
        <v>60</v>
      </c>
      <c r="AV35" s="36" t="n">
        <f aca="false">IF(AND(Y35&gt;0,Y35=A35),Assumptions!$C$46,0)+IF(Y35&gt;0,Assumptions!$C$47,0)</f>
        <v>0</v>
      </c>
      <c r="AW35" s="36" t="n">
        <f aca="false">AK35+AL35+AM35+AN35+AO35+AS35+AT35+AU35+AV35</f>
        <v>675.314087114983</v>
      </c>
      <c r="AX35" s="36" t="n">
        <f aca="false">AI35-AW35</f>
        <v>1092.68874521077</v>
      </c>
      <c r="AY35" s="36" t="n">
        <f aca="false">MAX(0,AX35)*Assumptions!$C$73</f>
        <v>327.806623563232</v>
      </c>
      <c r="AZ35" s="36" t="n">
        <f aca="false">AX35-AY35</f>
        <v>764.882121647542</v>
      </c>
      <c r="BA35" s="36" t="n">
        <f aca="false">BA34+AZ35</f>
        <v>8718.7036207303</v>
      </c>
      <c r="BB35" s="31" t="n">
        <f aca="false">IF(AZ35&gt;=Assumptions!$C$74/12,BB34+1,0)</f>
        <v>0</v>
      </c>
      <c r="BC35" s="31" t="n">
        <f aca="false">IF(OR(BC34=1,BB35&gt;=3),1,0)</f>
        <v>0</v>
      </c>
      <c r="BD35" s="31" t="n">
        <f aca="false">IF(AZ35&gt;=Assumptions!$C$75/12,BD34+1,0)</f>
        <v>0</v>
      </c>
      <c r="BE35" s="33" t="n">
        <f aca="false">AP35*12/52</f>
        <v>18.9490570998953</v>
      </c>
      <c r="BF35" s="33" t="n">
        <f aca="false">AR35*12/52</f>
        <v>0.949057099895334</v>
      </c>
      <c r="BG35" s="31" t="n">
        <f aca="false">IF(AX35&gt;0,A35,999)</f>
        <v>31</v>
      </c>
      <c r="BH35" s="31" t="n">
        <f aca="false">IF(BB35&gt;=3,A35,999)</f>
        <v>999</v>
      </c>
      <c r="BI35" s="31" t="n">
        <f aca="false">IF(BD35&gt;=3,A35,999)</f>
        <v>999</v>
      </c>
    </row>
    <row r="36" customFormat="false" ht="15" hidden="false" customHeight="false" outlineLevel="0" collapsed="false">
      <c r="A36" s="31" t="n">
        <v>32</v>
      </c>
      <c r="B36" s="32" t="n">
        <f aca="false">DATE(2026,10+A36,1)</f>
        <v>47270</v>
      </c>
      <c r="C36" s="31" t="n">
        <f aca="false">INT((A36-1)/12)+1</f>
        <v>3</v>
      </c>
      <c r="D36" s="31" t="n">
        <f aca="false">IF(C36=1,Assumptions!$C$7,IF(C36=2,Assumptions!$C$8,Assumptions!$C$9))</f>
        <v>15</v>
      </c>
      <c r="E36" s="31" t="n">
        <f aca="false">D36*Assumptions!$C$10</f>
        <v>300</v>
      </c>
      <c r="F36" s="33" t="n">
        <f aca="false">E36*Assumptions!$C$11</f>
        <v>15</v>
      </c>
      <c r="G36" s="34" t="n">
        <f aca="false">MIN(1,Assumptions!$C$13+(1-Assumptions!$C$13)*(A36-1)/Assumptions!$C$14)</f>
        <v>1</v>
      </c>
      <c r="H36" s="33" t="n">
        <f aca="false">F36*Assumptions!$C$12*G36</f>
        <v>1.5</v>
      </c>
      <c r="I36" s="33" t="n">
        <f aca="false">Assumptions!$C$15*(Q35+R35+T35+U35)</f>
        <v>0.072252775397251</v>
      </c>
      <c r="J36" s="33" t="n">
        <f aca="false">H36+I36</f>
        <v>1.57225277539725</v>
      </c>
      <c r="K36" s="33" t="n">
        <f aca="false">J36*Assumptions!$C$18</f>
        <v>0</v>
      </c>
      <c r="L36" s="33" t="n">
        <f aca="false">(J36-K36)*Assumptions!$C$17</f>
        <v>1.10057694277808</v>
      </c>
      <c r="M36" s="33" t="n">
        <f aca="false">J36-K36-L36</f>
        <v>0.471675832619175</v>
      </c>
      <c r="N36" s="33" t="n">
        <f aca="false">L36*Assumptions!$C$19</f>
        <v>0.165086541416711</v>
      </c>
      <c r="O36" s="33" t="n">
        <f aca="false">L36-N36</f>
        <v>0.935490401361364</v>
      </c>
      <c r="P36" s="33" t="n">
        <f aca="false">O24*(1-Assumptions!$C$20)^12</f>
        <v>0.581786182636679</v>
      </c>
      <c r="Q36" s="33" t="n">
        <f aca="false">Q35*(1-Assumptions!$C$20)+O36-P36</f>
        <v>9.40563143831991</v>
      </c>
      <c r="R36" s="33" t="n">
        <f aca="false">R35*(1-Assumptions!$C$22)+P36*(1-Assumptions!$C$21)</f>
        <v>4.3129930830317</v>
      </c>
      <c r="S36" s="33" t="n">
        <f aca="false">Q36+R36</f>
        <v>13.7186245213516</v>
      </c>
      <c r="T36" s="33" t="n">
        <f aca="false">T35*(1-Assumptions!$C$24)+M36*Assumptions!$C$23</f>
        <v>1.13076646518564</v>
      </c>
      <c r="U36" s="33" t="n">
        <f aca="false">U35*(1-Assumptions!$C$25)+K36</f>
        <v>0</v>
      </c>
      <c r="V36" s="33" t="n">
        <f aca="false">V35+M36</f>
        <v>10.9628530419849</v>
      </c>
      <c r="W36" s="33" t="n">
        <f aca="false">N36+Q35*Assumptions!$C$20+P36*Assumptions!$C$21+R35*Assumptions!$C$22+T35*Assumptions!$C$24+U35*Assumptions!$C$25</f>
        <v>0.796076202214854</v>
      </c>
      <c r="X36" s="33" t="n">
        <f aca="false">IF(A36&lt;Assumptions!$C$34,0,Assumptions!$C$36*MIN(1,(A36-Assumptions!$C$34+1)/Assumptions!$C$35))*(S36+T36)</f>
        <v>1.48493909865373</v>
      </c>
      <c r="Y36" s="31" t="n">
        <f aca="false">IF(Y35&gt;0,Y35,IF(AND(A36&gt;=Assumptions!$C$41,Q35+R35+T35&gt;=Assumptions!$C$40),A36,0))</f>
        <v>0</v>
      </c>
      <c r="Z36" s="33" t="n">
        <f aca="false">IF(Y36&gt;0,Assumptions!$C$42*MIN(1,(A36-Y36+1)/Assumptions!$C$43),0)*(S36+T36)</f>
        <v>0</v>
      </c>
      <c r="AA36" s="35" t="n">
        <f aca="false">(1+Assumptions!$C$32)^(C36-1)</f>
        <v>1</v>
      </c>
      <c r="AB36" s="36" t="n">
        <f aca="false">O36*Assumptions!$C$27*AA36</f>
        <v>92.6135497347751</v>
      </c>
      <c r="AC36" s="36" t="n">
        <f aca="false">(Q35+R35)*Assumptions!$C$28*AA36</f>
        <v>1321.4488905597</v>
      </c>
      <c r="AD36" s="36" t="n">
        <f aca="false">M36*Assumptions!$C$29*AA36</f>
        <v>235.366240476969</v>
      </c>
      <c r="AE36" s="36" t="n">
        <f aca="false">T35*Assumptions!$C$30*AA36</f>
        <v>87.1043325471093</v>
      </c>
      <c r="AF36" s="36" t="n">
        <f aca="false">U35*Assumptions!$C$31*AA36</f>
        <v>0</v>
      </c>
      <c r="AG36" s="36" t="n">
        <f aca="false">X36*Assumptions!$C$37*Assumptions!$C$38</f>
        <v>74.2469549326863</v>
      </c>
      <c r="AH36" s="36" t="n">
        <f aca="false">Z36*Assumptions!$C$44*Assumptions!$C$45</f>
        <v>0</v>
      </c>
      <c r="AI36" s="36" t="n">
        <f aca="false">SUM(AB36:AH36)</f>
        <v>1810.77996825124</v>
      </c>
      <c r="AJ36" s="36" t="n">
        <f aca="false">(S36*Assumptions!$C$28+T36*Assumptions!$C$30+U36*Assumptions!$C$31)*AA36+AG36+AH36</f>
        <v>1521.72133329616</v>
      </c>
      <c r="AK36" s="36" t="n">
        <f aca="false">(AI36-AH36)*Assumptions!$C$49</f>
        <v>72.4311987300495</v>
      </c>
      <c r="AL36" s="36" t="n">
        <f aca="false">(AC36+AE36+AF36)*Assumptions!$C$50</f>
        <v>9.85987256174766</v>
      </c>
      <c r="AM36" s="36" t="n">
        <f aca="false">S36*Assumptions!$C$51+M36*Assumptions!$C$52</f>
        <v>24.2234181409772</v>
      </c>
      <c r="AN36" s="36" t="n">
        <f aca="false">Assumptions!$C$53+Assumptions!$C$54*(S36+T36+U36)</f>
        <v>259.397563946149</v>
      </c>
      <c r="AO36" s="36" t="n">
        <f aca="false">IF(C36&gt;=2,Assumptions!$C$55,0)</f>
        <v>100</v>
      </c>
      <c r="AP36" s="33" t="n">
        <f aca="false">E36*Assumptions!$C$60/60+F36*Assumptions!$C$61+J36*Assumptions!$C$62+(S36+T36)*Assumptions!$C$63+X36*Assumptions!$C$64+Z36*Assumptions!$C$65+U36*Assumptions!$C$66+Assumptions!$C$67*52/12</f>
        <v>82.9762822805802</v>
      </c>
      <c r="AQ36" s="33" t="n">
        <f aca="false">IF(BC35=1,Assumptions!$C$69,Assumptions!$C$68)*52/12</f>
        <v>78</v>
      </c>
      <c r="AR36" s="33" t="n">
        <f aca="false">MAX(0,AP36-AQ36)</f>
        <v>4.97628228058018</v>
      </c>
      <c r="AS36" s="36" t="n">
        <f aca="false">AR36*Assumptions!$C$70*Assumptions!$C$71</f>
        <v>64.6916696475423</v>
      </c>
      <c r="AT36" s="36" t="n">
        <f aca="false">Assumptions!$C$56/12</f>
        <v>100</v>
      </c>
      <c r="AU36" s="36" t="n">
        <f aca="false">IF(A36=1,Assumptions!$C$57,0)+Assumptions!$C$58</f>
        <v>60</v>
      </c>
      <c r="AV36" s="36" t="n">
        <f aca="false">IF(AND(Y36&gt;0,Y36=A36),Assumptions!$C$46,0)+IF(Y36&gt;0,Assumptions!$C$47,0)</f>
        <v>0</v>
      </c>
      <c r="AW36" s="36" t="n">
        <f aca="false">AK36+AL36+AM36+AN36+AO36+AS36+AT36+AU36+AV36</f>
        <v>690.603723026466</v>
      </c>
      <c r="AX36" s="36" t="n">
        <f aca="false">AI36-AW36</f>
        <v>1120.17624522477</v>
      </c>
      <c r="AY36" s="36" t="n">
        <f aca="false">MAX(0,AX36)*Assumptions!$C$73</f>
        <v>336.052873567432</v>
      </c>
      <c r="AZ36" s="36" t="n">
        <f aca="false">AX36-AY36</f>
        <v>784.123371657341</v>
      </c>
      <c r="BA36" s="36" t="n">
        <f aca="false">BA35+AZ36</f>
        <v>9502.82699238764</v>
      </c>
      <c r="BB36" s="31" t="n">
        <f aca="false">IF(AZ36&gt;=Assumptions!$C$74/12,BB35+1,0)</f>
        <v>0</v>
      </c>
      <c r="BC36" s="31" t="n">
        <f aca="false">IF(OR(BC35=1,BB36&gt;=3),1,0)</f>
        <v>0</v>
      </c>
      <c r="BD36" s="31" t="n">
        <f aca="false">IF(AZ36&gt;=Assumptions!$C$75/12,BD35+1,0)</f>
        <v>0</v>
      </c>
      <c r="BE36" s="33" t="n">
        <f aca="false">AP36*12/52</f>
        <v>19.14837283398</v>
      </c>
      <c r="BF36" s="33" t="n">
        <f aca="false">AR36*12/52</f>
        <v>1.14837283398004</v>
      </c>
      <c r="BG36" s="31" t="n">
        <f aca="false">IF(AX36&gt;0,A36,999)</f>
        <v>32</v>
      </c>
      <c r="BH36" s="31" t="n">
        <f aca="false">IF(BB36&gt;=3,A36,999)</f>
        <v>999</v>
      </c>
      <c r="BI36" s="31" t="n">
        <f aca="false">IF(BD36&gt;=3,A36,999)</f>
        <v>999</v>
      </c>
    </row>
    <row r="37" customFormat="false" ht="15" hidden="false" customHeight="false" outlineLevel="0" collapsed="false">
      <c r="A37" s="31" t="n">
        <v>33</v>
      </c>
      <c r="B37" s="32" t="n">
        <f aca="false">DATE(2026,10+A37,1)</f>
        <v>47300</v>
      </c>
      <c r="C37" s="31" t="n">
        <f aca="false">INT((A37-1)/12)+1</f>
        <v>3</v>
      </c>
      <c r="D37" s="31" t="n">
        <f aca="false">IF(C37=1,Assumptions!$C$7,IF(C37=2,Assumptions!$C$8,Assumptions!$C$9))</f>
        <v>15</v>
      </c>
      <c r="E37" s="31" t="n">
        <f aca="false">D37*Assumptions!$C$10</f>
        <v>300</v>
      </c>
      <c r="F37" s="33" t="n">
        <f aca="false">E37*Assumptions!$C$11</f>
        <v>15</v>
      </c>
      <c r="G37" s="34" t="n">
        <f aca="false">MIN(1,Assumptions!$C$13+(1-Assumptions!$C$13)*(A37-1)/Assumptions!$C$14)</f>
        <v>1</v>
      </c>
      <c r="H37" s="33" t="n">
        <f aca="false">F37*Assumptions!$C$12*G37</f>
        <v>1.5</v>
      </c>
      <c r="I37" s="33" t="n">
        <f aca="false">Assumptions!$C$15*(Q36+R36+T36+U36)</f>
        <v>0.0742469549326863</v>
      </c>
      <c r="J37" s="33" t="n">
        <f aca="false">H37+I37</f>
        <v>1.57424695493269</v>
      </c>
      <c r="K37" s="33" t="n">
        <f aca="false">J37*Assumptions!$C$18</f>
        <v>0</v>
      </c>
      <c r="L37" s="33" t="n">
        <f aca="false">(J37-K37)*Assumptions!$C$17</f>
        <v>1.10197286845288</v>
      </c>
      <c r="M37" s="33" t="n">
        <f aca="false">J37-K37-L37</f>
        <v>0.472274086479806</v>
      </c>
      <c r="N37" s="33" t="n">
        <f aca="false">L37*Assumptions!$C$19</f>
        <v>0.165295930267932</v>
      </c>
      <c r="O37" s="33" t="n">
        <f aca="false">L37-N37</f>
        <v>0.936676938184948</v>
      </c>
      <c r="P37" s="33" t="n">
        <f aca="false">O25*(1-Assumptions!$C$20)^12</f>
        <v>0.582822284929279</v>
      </c>
      <c r="Q37" s="33" t="n">
        <f aca="false">Q36*(1-Assumptions!$C$20)+O37-P37</f>
        <v>9.57137346280918</v>
      </c>
      <c r="R37" s="33" t="n">
        <f aca="false">R36*(1-Assumptions!$C$22)+P37*(1-Assumptions!$C$21)</f>
        <v>4.50531902833061</v>
      </c>
      <c r="S37" s="33" t="n">
        <f aca="false">Q37+R37</f>
        <v>14.0766924911398</v>
      </c>
      <c r="T37" s="33" t="n">
        <f aca="false">T36*(1-Assumptions!$C$24)+M37*Assumptions!$C$23</f>
        <v>1.15737529457046</v>
      </c>
      <c r="U37" s="33" t="n">
        <f aca="false">U36*(1-Assumptions!$C$25)+K37</f>
        <v>0</v>
      </c>
      <c r="V37" s="33" t="n">
        <f aca="false">V36+M37</f>
        <v>11.4351271284647</v>
      </c>
      <c r="W37" s="33" t="n">
        <f aca="false">N37+Q36*Assumptions!$C$20+P37*Assumptions!$C$21+R36*Assumptions!$C$22+T36*Assumptions!$C$24+U36*Assumptions!$C$25</f>
        <v>0.811750886575838</v>
      </c>
      <c r="X37" s="33" t="n">
        <f aca="false">IF(A37&lt;Assumptions!$C$34,0,Assumptions!$C$36*MIN(1,(A37-Assumptions!$C$34+1)/Assumptions!$C$35))*(S37+T37)</f>
        <v>1.52340677857103</v>
      </c>
      <c r="Y37" s="31" t="n">
        <f aca="false">IF(Y36&gt;0,Y36,IF(AND(A37&gt;=Assumptions!$C$41,Q36+R36+T36&gt;=Assumptions!$C$40),A37,0))</f>
        <v>0</v>
      </c>
      <c r="Z37" s="33" t="n">
        <f aca="false">IF(Y37&gt;0,Assumptions!$C$42*MIN(1,(A37-Y37+1)/Assumptions!$C$43),0)*(S37+T37)</f>
        <v>0</v>
      </c>
      <c r="AA37" s="35" t="n">
        <f aca="false">(1+Assumptions!$C$32)^(C37-1)</f>
        <v>1</v>
      </c>
      <c r="AB37" s="36" t="n">
        <f aca="false">O37*Assumptions!$C$27*AA37</f>
        <v>92.7310168803099</v>
      </c>
      <c r="AC37" s="36" t="n">
        <f aca="false">(Q36+R36)*Assumptions!$C$28*AA37</f>
        <v>1358.14382761381</v>
      </c>
      <c r="AD37" s="36" t="n">
        <f aca="false">M37*Assumptions!$C$29*AA37</f>
        <v>235.664769153423</v>
      </c>
      <c r="AE37" s="36" t="n">
        <f aca="false">T36*Assumptions!$C$30*AA37</f>
        <v>89.3305507496657</v>
      </c>
      <c r="AF37" s="36" t="n">
        <f aca="false">U36*Assumptions!$C$31*AA37</f>
        <v>0</v>
      </c>
      <c r="AG37" s="36" t="n">
        <f aca="false">X37*Assumptions!$C$37*Assumptions!$C$38</f>
        <v>76.1703389285513</v>
      </c>
      <c r="AH37" s="36" t="n">
        <f aca="false">Z37*Assumptions!$C$44*Assumptions!$C$45</f>
        <v>0</v>
      </c>
      <c r="AI37" s="36" t="n">
        <f aca="false">SUM(AB37:AH37)</f>
        <v>1852.04050332576</v>
      </c>
      <c r="AJ37" s="36" t="n">
        <f aca="false">(S37*Assumptions!$C$28+T37*Assumptions!$C$30+U37*Assumptions!$C$31)*AA37+AG37+AH37</f>
        <v>1561.19554382246</v>
      </c>
      <c r="AK37" s="36" t="n">
        <f aca="false">(AI37-AH37)*Assumptions!$C$49</f>
        <v>74.0816201330304</v>
      </c>
      <c r="AL37" s="36" t="n">
        <f aca="false">(AC37+AE37+AF37)*Assumptions!$C$50</f>
        <v>10.1323206485443</v>
      </c>
      <c r="AM37" s="36" t="n">
        <f aca="false">S37*Assumptions!$C$51+M37*Assumptions!$C$52</f>
        <v>24.6799769111218</v>
      </c>
      <c r="AN37" s="36" t="n">
        <f aca="false">Assumptions!$C$53+Assumptions!$C$54*(S37+T37+U37)</f>
        <v>260.936271142841</v>
      </c>
      <c r="AO37" s="36" t="n">
        <f aca="false">IF(C37&gt;=2,Assumptions!$C$55,0)</f>
        <v>100</v>
      </c>
      <c r="AP37" s="33" t="n">
        <f aca="false">E37*Assumptions!$C$60/60+F37*Assumptions!$C$61+J37*Assumptions!$C$62+(S37+T37)*Assumptions!$C$63+X37*Assumptions!$C$64+Z37*Assumptions!$C$65+U37*Assumptions!$C$66+Assumptions!$C$67*52/12</f>
        <v>83.8093199374085</v>
      </c>
      <c r="AQ37" s="33" t="n">
        <f aca="false">IF(BC36=1,Assumptions!$C$69,Assumptions!$C$68)*52/12</f>
        <v>78</v>
      </c>
      <c r="AR37" s="33" t="n">
        <f aca="false">MAX(0,AP37-AQ37)</f>
        <v>5.80931993740845</v>
      </c>
      <c r="AS37" s="36" t="n">
        <f aca="false">AR37*Assumptions!$C$70*Assumptions!$C$71</f>
        <v>75.5211591863098</v>
      </c>
      <c r="AT37" s="36" t="n">
        <f aca="false">Assumptions!$C$56/12</f>
        <v>100</v>
      </c>
      <c r="AU37" s="36" t="n">
        <f aca="false">IF(A37=1,Assumptions!$C$57,0)+Assumptions!$C$58</f>
        <v>60</v>
      </c>
      <c r="AV37" s="36" t="n">
        <f aca="false">IF(AND(Y37&gt;0,Y37=A37),Assumptions!$C$46,0)+IF(Y37&gt;0,Assumptions!$C$47,0)</f>
        <v>0</v>
      </c>
      <c r="AW37" s="36" t="n">
        <f aca="false">AK37+AL37+AM37+AN37+AO37+AS37+AT37+AU37+AV37</f>
        <v>705.351348021848</v>
      </c>
      <c r="AX37" s="36" t="n">
        <f aca="false">AI37-AW37</f>
        <v>1146.68915530391</v>
      </c>
      <c r="AY37" s="36" t="n">
        <f aca="false">MAX(0,AX37)*Assumptions!$C$73</f>
        <v>344.006746591174</v>
      </c>
      <c r="AZ37" s="36" t="n">
        <f aca="false">AX37-AY37</f>
        <v>802.682408712739</v>
      </c>
      <c r="BA37" s="36" t="n">
        <f aca="false">BA36+AZ37</f>
        <v>10305.5094011004</v>
      </c>
      <c r="BB37" s="31" t="n">
        <f aca="false">IF(AZ37&gt;=Assumptions!$C$74/12,BB36+1,0)</f>
        <v>0</v>
      </c>
      <c r="BC37" s="31" t="n">
        <f aca="false">IF(OR(BC36=1,BB37&gt;=3),1,0)</f>
        <v>0</v>
      </c>
      <c r="BD37" s="31" t="n">
        <f aca="false">IF(AZ37&gt;=Assumptions!$C$75/12,BD36+1,0)</f>
        <v>0</v>
      </c>
      <c r="BE37" s="33" t="n">
        <f aca="false">AP37*12/52</f>
        <v>19.3406122932481</v>
      </c>
      <c r="BF37" s="33" t="n">
        <f aca="false">AR37*12/52</f>
        <v>1.3406122932481</v>
      </c>
      <c r="BG37" s="31" t="n">
        <f aca="false">IF(AX37&gt;0,A37,999)</f>
        <v>33</v>
      </c>
      <c r="BH37" s="31" t="n">
        <f aca="false">IF(BB37&gt;=3,A37,999)</f>
        <v>999</v>
      </c>
      <c r="BI37" s="31" t="n">
        <f aca="false">IF(BD37&gt;=3,A37,999)</f>
        <v>999</v>
      </c>
    </row>
    <row r="38" customFormat="false" ht="15" hidden="false" customHeight="false" outlineLevel="0" collapsed="false">
      <c r="A38" s="31" t="n">
        <v>34</v>
      </c>
      <c r="B38" s="32" t="n">
        <f aca="false">DATE(2026,10+A38,1)</f>
        <v>47331</v>
      </c>
      <c r="C38" s="31" t="n">
        <f aca="false">INT((A38-1)/12)+1</f>
        <v>3</v>
      </c>
      <c r="D38" s="31" t="n">
        <f aca="false">IF(C38=1,Assumptions!$C$7,IF(C38=2,Assumptions!$C$8,Assumptions!$C$9))</f>
        <v>15</v>
      </c>
      <c r="E38" s="31" t="n">
        <f aca="false">D38*Assumptions!$C$10</f>
        <v>300</v>
      </c>
      <c r="F38" s="33" t="n">
        <f aca="false">E38*Assumptions!$C$11</f>
        <v>15</v>
      </c>
      <c r="G38" s="34" t="n">
        <f aca="false">MIN(1,Assumptions!$C$13+(1-Assumptions!$C$13)*(A38-1)/Assumptions!$C$14)</f>
        <v>1</v>
      </c>
      <c r="H38" s="33" t="n">
        <f aca="false">F38*Assumptions!$C$12*G38</f>
        <v>1.5</v>
      </c>
      <c r="I38" s="33" t="n">
        <f aca="false">Assumptions!$C$15*(Q37+R37+T37+U37)</f>
        <v>0.0761703389285513</v>
      </c>
      <c r="J38" s="33" t="n">
        <f aca="false">H38+I38</f>
        <v>1.57617033892855</v>
      </c>
      <c r="K38" s="33" t="n">
        <f aca="false">J38*Assumptions!$C$18</f>
        <v>0</v>
      </c>
      <c r="L38" s="33" t="n">
        <f aca="false">(J38-K38)*Assumptions!$C$17</f>
        <v>1.10331923724999</v>
      </c>
      <c r="M38" s="33" t="n">
        <f aca="false">J38-K38-L38</f>
        <v>0.472851101678566</v>
      </c>
      <c r="N38" s="33" t="n">
        <f aca="false">L38*Assumptions!$C$19</f>
        <v>0.165497885587498</v>
      </c>
      <c r="O38" s="33" t="n">
        <f aca="false">L38-N38</f>
        <v>0.937821351662488</v>
      </c>
      <c r="P38" s="33" t="n">
        <f aca="false">O26*(1-Assumptions!$C$20)^12</f>
        <v>0.583799538712169</v>
      </c>
      <c r="Q38" s="33" t="n">
        <f aca="false">Q37*(1-Assumptions!$C$20)+O38-P38</f>
        <v>9.73396780650332</v>
      </c>
      <c r="R38" s="33" t="n">
        <f aca="false">R37*(1-Assumptions!$C$22)+P38*(1-Assumptions!$C$21)</f>
        <v>4.6887127540126</v>
      </c>
      <c r="S38" s="33" t="n">
        <f aca="false">Q38+R38</f>
        <v>14.4226805605159</v>
      </c>
      <c r="T38" s="33" t="n">
        <f aca="false">T37*(1-Assumptions!$C$24)+M38*Assumptions!$C$23</f>
        <v>1.18250299723195</v>
      </c>
      <c r="U38" s="33" t="n">
        <f aca="false">U37*(1-Assumptions!$C$25)+K38</f>
        <v>0</v>
      </c>
      <c r="V38" s="33" t="n">
        <f aca="false">V37+M38</f>
        <v>11.9079782301433</v>
      </c>
      <c r="W38" s="33" t="n">
        <f aca="false">N38+Q37*Assumptions!$C$20+P38*Assumptions!$C$21+R37*Assumptions!$C$22+T37*Assumptions!$C$24+U37*Assumptions!$C$25</f>
        <v>0.826773685548091</v>
      </c>
      <c r="X38" s="33" t="n">
        <f aca="false">IF(A38&lt;Assumptions!$C$34,0,Assumptions!$C$36*MIN(1,(A38-Assumptions!$C$34+1)/Assumptions!$C$35))*(S38+T38)</f>
        <v>1.56051835577479</v>
      </c>
      <c r="Y38" s="31" t="n">
        <f aca="false">IF(Y37&gt;0,Y37,IF(AND(A38&gt;=Assumptions!$C$41,Q37+R37+T37&gt;=Assumptions!$C$40),A38,0))</f>
        <v>0</v>
      </c>
      <c r="Z38" s="33" t="n">
        <f aca="false">IF(Y38&gt;0,Assumptions!$C$42*MIN(1,(A38-Y38+1)/Assumptions!$C$43),0)*(S38+T38)</f>
        <v>0</v>
      </c>
      <c r="AA38" s="35" t="n">
        <f aca="false">(1+Assumptions!$C$32)^(C38-1)</f>
        <v>1</v>
      </c>
      <c r="AB38" s="36" t="n">
        <f aca="false">O38*Assumptions!$C$27*AA38</f>
        <v>92.8443138145863</v>
      </c>
      <c r="AC38" s="36" t="n">
        <f aca="false">(Q37+R37)*Assumptions!$C$28*AA38</f>
        <v>1393.59255662284</v>
      </c>
      <c r="AD38" s="36" t="n">
        <f aca="false">M38*Assumptions!$C$29*AA38</f>
        <v>235.952699737604</v>
      </c>
      <c r="AE38" s="36" t="n">
        <f aca="false">T37*Assumptions!$C$30*AA38</f>
        <v>91.4326482710667</v>
      </c>
      <c r="AF38" s="36" t="n">
        <f aca="false">U37*Assumptions!$C$31*AA38</f>
        <v>0</v>
      </c>
      <c r="AG38" s="36" t="n">
        <f aca="false">X38*Assumptions!$C$37*Assumptions!$C$38</f>
        <v>78.0259177887393</v>
      </c>
      <c r="AH38" s="36" t="n">
        <f aca="false">Z38*Assumptions!$C$44*Assumptions!$C$45</f>
        <v>0</v>
      </c>
      <c r="AI38" s="36" t="n">
        <f aca="false">SUM(AB38:AH38)</f>
        <v>1891.84813623484</v>
      </c>
      <c r="AJ38" s="36" t="n">
        <f aca="false">(S38*Assumptions!$C$28+T38*Assumptions!$C$30+U38*Assumptions!$C$31)*AA38+AG38+AH38</f>
        <v>1599.28903006114</v>
      </c>
      <c r="AK38" s="36" t="n">
        <f aca="false">(AI38-AH38)*Assumptions!$C$49</f>
        <v>75.6739254493935</v>
      </c>
      <c r="AL38" s="36" t="n">
        <f aca="false">(AC38+AE38+AF38)*Assumptions!$C$50</f>
        <v>10.3951764342573</v>
      </c>
      <c r="AM38" s="36" t="n">
        <f aca="false">S38*Assumptions!$C$51+M38*Assumptions!$C$52</f>
        <v>25.1211172258234</v>
      </c>
      <c r="AN38" s="36" t="n">
        <f aca="false">Assumptions!$C$53+Assumptions!$C$54*(S38+T38+U38)</f>
        <v>262.420734230991</v>
      </c>
      <c r="AO38" s="36" t="n">
        <f aca="false">IF(C38&gt;=2,Assumptions!$C$55,0)</f>
        <v>100</v>
      </c>
      <c r="AP38" s="33" t="n">
        <f aca="false">E38*Assumptions!$C$60/60+F38*Assumptions!$C$61+J38*Assumptions!$C$62+(S38+T38)*Assumptions!$C$63+X38*Assumptions!$C$64+Z38*Assumptions!$C$65+U38*Assumptions!$C$66+Assumptions!$C$67*52/12</f>
        <v>84.6129889992769</v>
      </c>
      <c r="AQ38" s="33" t="n">
        <f aca="false">IF(BC37=1,Assumptions!$C$69,Assumptions!$C$68)*52/12</f>
        <v>78</v>
      </c>
      <c r="AR38" s="33" t="n">
        <f aca="false">MAX(0,AP38-AQ38)</f>
        <v>6.61298899927689</v>
      </c>
      <c r="AS38" s="36" t="n">
        <f aca="false">AR38*Assumptions!$C$70*Assumptions!$C$71</f>
        <v>85.9688569905996</v>
      </c>
      <c r="AT38" s="36" t="n">
        <f aca="false">Assumptions!$C$56/12</f>
        <v>100</v>
      </c>
      <c r="AU38" s="36" t="n">
        <f aca="false">IF(A38=1,Assumptions!$C$57,0)+Assumptions!$C$58</f>
        <v>60</v>
      </c>
      <c r="AV38" s="36" t="n">
        <f aca="false">IF(AND(Y38&gt;0,Y38=A38),Assumptions!$C$46,0)+IF(Y38&gt;0,Assumptions!$C$47,0)</f>
        <v>0</v>
      </c>
      <c r="AW38" s="36" t="n">
        <f aca="false">AK38+AL38+AM38+AN38+AO38+AS38+AT38+AU38+AV38</f>
        <v>719.579810331065</v>
      </c>
      <c r="AX38" s="36" t="n">
        <f aca="false">AI38-AW38</f>
        <v>1172.26832590377</v>
      </c>
      <c r="AY38" s="36" t="n">
        <f aca="false">MAX(0,AX38)*Assumptions!$C$73</f>
        <v>351.680497771131</v>
      </c>
      <c r="AZ38" s="36" t="n">
        <f aca="false">AX38-AY38</f>
        <v>820.58782813264</v>
      </c>
      <c r="BA38" s="36" t="n">
        <f aca="false">BA37+AZ38</f>
        <v>11126.097229233</v>
      </c>
      <c r="BB38" s="31" t="n">
        <f aca="false">IF(AZ38&gt;=Assumptions!$C$74/12,BB37+1,0)</f>
        <v>0</v>
      </c>
      <c r="BC38" s="31" t="n">
        <f aca="false">IF(OR(BC37=1,BB38&gt;=3),1,0)</f>
        <v>0</v>
      </c>
      <c r="BD38" s="31" t="n">
        <f aca="false">IF(AZ38&gt;=Assumptions!$C$75/12,BD37+1,0)</f>
        <v>0</v>
      </c>
      <c r="BE38" s="33" t="n">
        <f aca="false">AP38*12/52</f>
        <v>19.5260743844485</v>
      </c>
      <c r="BF38" s="33" t="n">
        <f aca="false">AR38*12/52</f>
        <v>1.52607438444851</v>
      </c>
      <c r="BG38" s="31" t="n">
        <f aca="false">IF(AX38&gt;0,A38,999)</f>
        <v>34</v>
      </c>
      <c r="BH38" s="31" t="n">
        <f aca="false">IF(BB38&gt;=3,A38,999)</f>
        <v>999</v>
      </c>
      <c r="BI38" s="31" t="n">
        <f aca="false">IF(BD38&gt;=3,A38,999)</f>
        <v>999</v>
      </c>
    </row>
    <row r="39" customFormat="false" ht="15" hidden="false" customHeight="false" outlineLevel="0" collapsed="false">
      <c r="A39" s="31" t="n">
        <v>35</v>
      </c>
      <c r="B39" s="32" t="n">
        <f aca="false">DATE(2026,10+A39,1)</f>
        <v>47362</v>
      </c>
      <c r="C39" s="31" t="n">
        <f aca="false">INT((A39-1)/12)+1</f>
        <v>3</v>
      </c>
      <c r="D39" s="31" t="n">
        <f aca="false">IF(C39=1,Assumptions!$C$7,IF(C39=2,Assumptions!$C$8,Assumptions!$C$9))</f>
        <v>15</v>
      </c>
      <c r="E39" s="31" t="n">
        <f aca="false">D39*Assumptions!$C$10</f>
        <v>300</v>
      </c>
      <c r="F39" s="33" t="n">
        <f aca="false">E39*Assumptions!$C$11</f>
        <v>15</v>
      </c>
      <c r="G39" s="34" t="n">
        <f aca="false">MIN(1,Assumptions!$C$13+(1-Assumptions!$C$13)*(A39-1)/Assumptions!$C$14)</f>
        <v>1</v>
      </c>
      <c r="H39" s="33" t="n">
        <f aca="false">F39*Assumptions!$C$12*G39</f>
        <v>1.5</v>
      </c>
      <c r="I39" s="33" t="n">
        <f aca="false">Assumptions!$C$15*(Q38+R38+T38+U38)</f>
        <v>0.0780259177887393</v>
      </c>
      <c r="J39" s="33" t="n">
        <f aca="false">H39+I39</f>
        <v>1.57802591778874</v>
      </c>
      <c r="K39" s="33" t="n">
        <f aca="false">J39*Assumptions!$C$18</f>
        <v>0</v>
      </c>
      <c r="L39" s="33" t="n">
        <f aca="false">(J39-K39)*Assumptions!$C$17</f>
        <v>1.10461814245212</v>
      </c>
      <c r="M39" s="33" t="n">
        <f aca="false">J39-K39-L39</f>
        <v>0.473407775336622</v>
      </c>
      <c r="N39" s="33" t="n">
        <f aca="false">L39*Assumptions!$C$19</f>
        <v>0.165692721367818</v>
      </c>
      <c r="O39" s="33" t="n">
        <f aca="false">L39-N39</f>
        <v>0.9389254210843</v>
      </c>
      <c r="P39" s="33" t="n">
        <f aca="false">O27*(1-Assumptions!$C$20)^12</f>
        <v>0.584718250094023</v>
      </c>
      <c r="Q39" s="33" t="n">
        <f aca="false">Q38*(1-Assumptions!$C$20)+O39-P39</f>
        <v>9.89349562136353</v>
      </c>
      <c r="R39" s="33" t="n">
        <f aca="false">R38*(1-Assumptions!$C$22)+P39*(1-Assumptions!$C$21)</f>
        <v>4.86357989137779</v>
      </c>
      <c r="S39" s="33" t="n">
        <f aca="false">Q39+R39</f>
        <v>14.7570755127413</v>
      </c>
      <c r="T39" s="33" t="n">
        <f aca="false">T38*(1-Assumptions!$C$24)+M39*Assumptions!$C$23</f>
        <v>1.20623437246536</v>
      </c>
      <c r="U39" s="33" t="n">
        <f aca="false">U38*(1-Assumptions!$C$25)+K39</f>
        <v>0</v>
      </c>
      <c r="V39" s="33" t="n">
        <f aca="false">V38+M39</f>
        <v>12.3813860054799</v>
      </c>
      <c r="W39" s="33" t="n">
        <f aca="false">N39+Q38*Assumptions!$C$20+P39*Assumptions!$C$21+R38*Assumptions!$C$22+T38*Assumptions!$C$24+U38*Assumptions!$C$25</f>
        <v>0.841173370060638</v>
      </c>
      <c r="X39" s="33" t="n">
        <f aca="false">IF(A39&lt;Assumptions!$C$34,0,Assumptions!$C$36*MIN(1,(A39-Assumptions!$C$34+1)/Assumptions!$C$35))*(S39+T39)</f>
        <v>1.59633098852067</v>
      </c>
      <c r="Y39" s="31" t="n">
        <f aca="false">IF(Y38&gt;0,Y38,IF(AND(A39&gt;=Assumptions!$C$41,Q38+R38+T38&gt;=Assumptions!$C$40),A39,0))</f>
        <v>0</v>
      </c>
      <c r="Z39" s="33" t="n">
        <f aca="false">IF(Y39&gt;0,Assumptions!$C$42*MIN(1,(A39-Y39+1)/Assumptions!$C$43),0)*(S39+T39)</f>
        <v>0</v>
      </c>
      <c r="AA39" s="35" t="n">
        <f aca="false">(1+Assumptions!$C$32)^(C39-1)</f>
        <v>1</v>
      </c>
      <c r="AB39" s="36" t="n">
        <f aca="false">O39*Assumptions!$C$27*AA39</f>
        <v>92.9536166873457</v>
      </c>
      <c r="AC39" s="36" t="n">
        <f aca="false">(Q38+R38)*Assumptions!$C$28*AA39</f>
        <v>1427.84537549108</v>
      </c>
      <c r="AD39" s="36" t="n">
        <f aca="false">M39*Assumptions!$C$29*AA39</f>
        <v>236.230479892974</v>
      </c>
      <c r="AE39" s="36" t="n">
        <f aca="false">T38*Assumptions!$C$30*AA39</f>
        <v>93.417736781324</v>
      </c>
      <c r="AF39" s="36" t="n">
        <f aca="false">U38*Assumptions!$C$31*AA39</f>
        <v>0</v>
      </c>
      <c r="AG39" s="36" t="n">
        <f aca="false">X39*Assumptions!$C$37*Assumptions!$C$38</f>
        <v>79.8165494260334</v>
      </c>
      <c r="AH39" s="36" t="n">
        <f aca="false">Z39*Assumptions!$C$44*Assumptions!$C$45</f>
        <v>0</v>
      </c>
      <c r="AI39" s="36" t="n">
        <f aca="false">SUM(AB39:AH39)</f>
        <v>1930.26375827875</v>
      </c>
      <c r="AJ39" s="36" t="n">
        <f aca="false">(S39*Assumptions!$C$28+T39*Assumptions!$C$30+U39*Assumptions!$C$31)*AA39+AG39+AH39</f>
        <v>1636.05954061219</v>
      </c>
      <c r="AK39" s="36" t="n">
        <f aca="false">(AI39-AH39)*Assumptions!$C$49</f>
        <v>77.2105503311501</v>
      </c>
      <c r="AL39" s="36" t="n">
        <f aca="false">(AC39+AE39+AF39)*Assumptions!$C$50</f>
        <v>10.6488417859068</v>
      </c>
      <c r="AM39" s="36" t="n">
        <f aca="false">S39*Assumptions!$C$51+M39*Assumptions!$C$52</f>
        <v>25.547461020976</v>
      </c>
      <c r="AN39" s="36" t="n">
        <f aca="false">Assumptions!$C$53+Assumptions!$C$54*(S39+T39+U39)</f>
        <v>263.853239540827</v>
      </c>
      <c r="AO39" s="36" t="n">
        <f aca="false">IF(C39&gt;=2,Assumptions!$C$55,0)</f>
        <v>100</v>
      </c>
      <c r="AP39" s="33" t="n">
        <f aca="false">E39*Assumptions!$C$60/60+F39*Assumptions!$C$61+J39*Assumptions!$C$62+(S39+T39)*Assumptions!$C$63+X39*Assumptions!$C$64+Z39*Assumptions!$C$65+U39*Assumptions!$C$66+Assumptions!$C$67*52/12</f>
        <v>85.3885273398939</v>
      </c>
      <c r="AQ39" s="33" t="n">
        <f aca="false">IF(BC38=1,Assumptions!$C$69,Assumptions!$C$68)*52/12</f>
        <v>78</v>
      </c>
      <c r="AR39" s="33" t="n">
        <f aca="false">MAX(0,AP39-AQ39)</f>
        <v>7.38852733989388</v>
      </c>
      <c r="AS39" s="36" t="n">
        <f aca="false">AR39*Assumptions!$C$70*Assumptions!$C$71</f>
        <v>96.0508554186205</v>
      </c>
      <c r="AT39" s="36" t="n">
        <f aca="false">Assumptions!$C$56/12</f>
        <v>100</v>
      </c>
      <c r="AU39" s="36" t="n">
        <f aca="false">IF(A39=1,Assumptions!$C$57,0)+Assumptions!$C$58</f>
        <v>60</v>
      </c>
      <c r="AV39" s="36" t="n">
        <f aca="false">IF(AND(Y39&gt;0,Y39=A39),Assumptions!$C$46,0)+IF(Y39&gt;0,Assumptions!$C$47,0)</f>
        <v>0</v>
      </c>
      <c r="AW39" s="36" t="n">
        <f aca="false">AK39+AL39+AM39+AN39+AO39+AS39+AT39+AU39+AV39</f>
        <v>733.31094809748</v>
      </c>
      <c r="AX39" s="36" t="n">
        <f aca="false">AI39-AW39</f>
        <v>1196.95281018127</v>
      </c>
      <c r="AY39" s="36" t="n">
        <f aca="false">MAX(0,AX39)*Assumptions!$C$73</f>
        <v>359.085843054382</v>
      </c>
      <c r="AZ39" s="36" t="n">
        <f aca="false">AX39-AY39</f>
        <v>837.866967126892</v>
      </c>
      <c r="BA39" s="36" t="n">
        <f aca="false">BA38+AZ39</f>
        <v>11963.9641963599</v>
      </c>
      <c r="BB39" s="31" t="n">
        <f aca="false">IF(AZ39&gt;=Assumptions!$C$74/12,BB38+1,0)</f>
        <v>0</v>
      </c>
      <c r="BC39" s="31" t="n">
        <f aca="false">IF(OR(BC38=1,BB39&gt;=3),1,0)</f>
        <v>0</v>
      </c>
      <c r="BD39" s="31" t="n">
        <f aca="false">IF(AZ39&gt;=Assumptions!$C$75/12,BD38+1,0)</f>
        <v>0</v>
      </c>
      <c r="BE39" s="33" t="n">
        <f aca="false">AP39*12/52</f>
        <v>19.7050447707447</v>
      </c>
      <c r="BF39" s="33" t="n">
        <f aca="false">AR39*12/52</f>
        <v>1.70504477074474</v>
      </c>
      <c r="BG39" s="31" t="n">
        <f aca="false">IF(AX39&gt;0,A39,999)</f>
        <v>35</v>
      </c>
      <c r="BH39" s="31" t="n">
        <f aca="false">IF(BB39&gt;=3,A39,999)</f>
        <v>999</v>
      </c>
      <c r="BI39" s="31" t="n">
        <f aca="false">IF(BD39&gt;=3,A39,999)</f>
        <v>999</v>
      </c>
    </row>
    <row r="40" customFormat="false" ht="15" hidden="false" customHeight="false" outlineLevel="0" collapsed="false">
      <c r="A40" s="37" t="n">
        <v>36</v>
      </c>
      <c r="B40" s="38" t="n">
        <f aca="false">DATE(2026,10+A40,1)</f>
        <v>47392</v>
      </c>
      <c r="C40" s="37" t="n">
        <f aca="false">INT((A40-1)/12)+1</f>
        <v>3</v>
      </c>
      <c r="D40" s="37" t="n">
        <f aca="false">IF(C40=1,Assumptions!$C$7,IF(C40=2,Assumptions!$C$8,Assumptions!$C$9))</f>
        <v>15</v>
      </c>
      <c r="E40" s="37" t="n">
        <f aca="false">D40*Assumptions!$C$10</f>
        <v>300</v>
      </c>
      <c r="F40" s="39" t="n">
        <f aca="false">E40*Assumptions!$C$11</f>
        <v>15</v>
      </c>
      <c r="G40" s="40" t="n">
        <f aca="false">MIN(1,Assumptions!$C$13+(1-Assumptions!$C$13)*(A40-1)/Assumptions!$C$14)</f>
        <v>1</v>
      </c>
      <c r="H40" s="39" t="n">
        <f aca="false">F40*Assumptions!$C$12*G40</f>
        <v>1.5</v>
      </c>
      <c r="I40" s="39" t="n">
        <f aca="false">Assumptions!$C$15*(Q39+R39+T39+U39)</f>
        <v>0.0798165494260334</v>
      </c>
      <c r="J40" s="39" t="n">
        <f aca="false">H40+I40</f>
        <v>1.57981654942603</v>
      </c>
      <c r="K40" s="39" t="n">
        <f aca="false">J40*Assumptions!$C$18</f>
        <v>0</v>
      </c>
      <c r="L40" s="39" t="n">
        <f aca="false">(J40-K40)*Assumptions!$C$17</f>
        <v>1.10587158459822</v>
      </c>
      <c r="M40" s="39" t="n">
        <f aca="false">J40-K40-L40</f>
        <v>0.47394496482781</v>
      </c>
      <c r="N40" s="39" t="n">
        <f aca="false">L40*Assumptions!$C$19</f>
        <v>0.165880737689734</v>
      </c>
      <c r="O40" s="39" t="n">
        <f aca="false">L40-N40</f>
        <v>0.93999084690849</v>
      </c>
      <c r="P40" s="39" t="n">
        <f aca="false">O28*(1-Assumptions!$C$20)^12</f>
        <v>0.585600547621982</v>
      </c>
      <c r="Q40" s="39" t="n">
        <f aca="false">Q39*(1-Assumptions!$C$20)+O40-P40</f>
        <v>10.0500160082228</v>
      </c>
      <c r="R40" s="39" t="n">
        <f aca="false">R39*(1-Assumptions!$C$22)+P40*(1-Assumptions!$C$21)</f>
        <v>5.03032128014428</v>
      </c>
      <c r="S40" s="39" t="n">
        <f aca="false">Q40+R40</f>
        <v>15.0803372883671</v>
      </c>
      <c r="T40" s="39" t="n">
        <f aca="false">T39*(1-Assumptions!$C$24)+M40*Assumptions!$C$23</f>
        <v>1.228649303083</v>
      </c>
      <c r="U40" s="39" t="n">
        <f aca="false">U39*(1-Assumptions!$C$25)+K40</f>
        <v>0</v>
      </c>
      <c r="V40" s="39" t="n">
        <f aca="false">V39+M40</f>
        <v>12.8553309703077</v>
      </c>
      <c r="W40" s="39" t="n">
        <f aca="false">N40+Q39*Assumptions!$C$20+P40*Assumptions!$C$21+R39*Assumptions!$C$22+T39*Assumptions!$C$24+U39*Assumptions!$C$25</f>
        <v>0.854983871320409</v>
      </c>
      <c r="X40" s="39" t="n">
        <f aca="false">IF(A40&lt;Assumptions!$C$34,0,Assumptions!$C$36*MIN(1,(A40-Assumptions!$C$34+1)/Assumptions!$C$35))*(S40+T40)</f>
        <v>1.630898659145</v>
      </c>
      <c r="Y40" s="37" t="n">
        <f aca="false">IF(Y39&gt;0,Y39,IF(AND(A40&gt;=Assumptions!$C$41,Q39+R39+T39&gt;=Assumptions!$C$40),A40,0))</f>
        <v>0</v>
      </c>
      <c r="Z40" s="39" t="n">
        <f aca="false">IF(Y40&gt;0,Assumptions!$C$42*MIN(1,(A40-Y40+1)/Assumptions!$C$43),0)*(S40+T40)</f>
        <v>0</v>
      </c>
      <c r="AA40" s="41" t="n">
        <f aca="false">(1+Assumptions!$C$32)^(C40-1)</f>
        <v>1</v>
      </c>
      <c r="AB40" s="42" t="n">
        <f aca="false">O40*Assumptions!$C$27*AA40</f>
        <v>93.0590938439405</v>
      </c>
      <c r="AC40" s="42" t="n">
        <f aca="false">(Q39+R39)*Assumptions!$C$28*AA40</f>
        <v>1460.95047576139</v>
      </c>
      <c r="AD40" s="42" t="n">
        <f aca="false">M40*Assumptions!$C$29*AA40</f>
        <v>236.498537449077</v>
      </c>
      <c r="AE40" s="42" t="n">
        <f aca="false">T39*Assumptions!$C$30*AA40</f>
        <v>95.2925154247632</v>
      </c>
      <c r="AF40" s="42" t="n">
        <f aca="false">U39*Assumptions!$C$31*AA40</f>
        <v>0</v>
      </c>
      <c r="AG40" s="42" t="n">
        <f aca="false">X40*Assumptions!$C$37*Assumptions!$C$38</f>
        <v>81.5449329572502</v>
      </c>
      <c r="AH40" s="42" t="n">
        <f aca="false">Z40*Assumptions!$C$44*Assumptions!$C$45</f>
        <v>0</v>
      </c>
      <c r="AI40" s="42" t="n">
        <f aca="false">SUM(AB40:AH40)</f>
        <v>1967.34555543642</v>
      </c>
      <c r="AJ40" s="42" t="n">
        <f aca="false">(S40*Assumptions!$C$28+T40*Assumptions!$C$30+U40*Assumptions!$C$31)*AA40+AG40+AH40</f>
        <v>1671.56161944915</v>
      </c>
      <c r="AK40" s="42" t="n">
        <f aca="false">(AI40-AH40)*Assumptions!$C$49</f>
        <v>78.6938222174568</v>
      </c>
      <c r="AL40" s="42" t="n">
        <f aca="false">(AC40+AE40+AF40)*Assumptions!$C$50</f>
        <v>10.8937009383031</v>
      </c>
      <c r="AM40" s="42" t="n">
        <f aca="false">S40*Assumptions!$C$51+M40*Assumptions!$C$52</f>
        <v>25.959596082876</v>
      </c>
      <c r="AN40" s="42" t="n">
        <f aca="false">Assumptions!$C$53+Assumptions!$C$54*(S40+T40+U40)</f>
        <v>265.2359463658</v>
      </c>
      <c r="AO40" s="42" t="n">
        <f aca="false">IF(C40&gt;=2,Assumptions!$C$55,0)</f>
        <v>100</v>
      </c>
      <c r="AP40" s="39" t="n">
        <f aca="false">E40*Assumptions!$C$60/60+F40*Assumptions!$C$61+J40*Assumptions!$C$62+(S40+T40)*Assumptions!$C$63+X40*Assumptions!$C$64+Z40*Assumptions!$C$65+U40*Assumptions!$C$66+Assumptions!$C$67*52/12</f>
        <v>86.137104153229</v>
      </c>
      <c r="AQ40" s="39" t="n">
        <f aca="false">IF(BC39=1,Assumptions!$C$69,Assumptions!$C$68)*52/12</f>
        <v>78</v>
      </c>
      <c r="AR40" s="39" t="n">
        <f aca="false">MAX(0,AP40-AQ40)</f>
        <v>8.13710415322902</v>
      </c>
      <c r="AS40" s="42" t="n">
        <f aca="false">AR40*Assumptions!$C$70*Assumptions!$C$71</f>
        <v>105.782353991977</v>
      </c>
      <c r="AT40" s="42" t="n">
        <f aca="false">Assumptions!$C$56/12</f>
        <v>100</v>
      </c>
      <c r="AU40" s="42" t="n">
        <f aca="false">IF(A40=1,Assumptions!$C$57,0)+Assumptions!$C$58</f>
        <v>60</v>
      </c>
      <c r="AV40" s="42" t="n">
        <f aca="false">IF(AND(Y40&gt;0,Y40=A40),Assumptions!$C$46,0)+IF(Y40&gt;0,Assumptions!$C$47,0)</f>
        <v>0</v>
      </c>
      <c r="AW40" s="42" t="n">
        <f aca="false">AK40+AL40+AM40+AN40+AO40+AS40+AT40+AU40+AV40</f>
        <v>746.565419596413</v>
      </c>
      <c r="AX40" s="42" t="n">
        <f aca="false">AI40-AW40</f>
        <v>1220.78013584001</v>
      </c>
      <c r="AY40" s="42" t="n">
        <f aca="false">MAX(0,AX40)*Assumptions!$C$73</f>
        <v>366.234040752002</v>
      </c>
      <c r="AZ40" s="42" t="n">
        <f aca="false">AX40-AY40</f>
        <v>854.546095088006</v>
      </c>
      <c r="BA40" s="42" t="n">
        <f aca="false">BA39+AZ40</f>
        <v>12818.5102914479</v>
      </c>
      <c r="BB40" s="37" t="n">
        <f aca="false">IF(AZ40&gt;=Assumptions!$C$74/12,BB39+1,0)</f>
        <v>0</v>
      </c>
      <c r="BC40" s="37" t="n">
        <f aca="false">IF(OR(BC39=1,BB40&gt;=3),1,0)</f>
        <v>0</v>
      </c>
      <c r="BD40" s="37" t="n">
        <f aca="false">IF(AZ40&gt;=Assumptions!$C$75/12,BD39+1,0)</f>
        <v>0</v>
      </c>
      <c r="BE40" s="39" t="n">
        <f aca="false">AP40*12/52</f>
        <v>19.8777932661298</v>
      </c>
      <c r="BF40" s="39" t="n">
        <f aca="false">AR40*12/52</f>
        <v>1.87779326612977</v>
      </c>
      <c r="BG40" s="37" t="n">
        <f aca="false">IF(AX40&gt;0,A40,999)</f>
        <v>36</v>
      </c>
      <c r="BH40" s="37" t="n">
        <f aca="false">IF(BB40&gt;=3,A40,999)</f>
        <v>999</v>
      </c>
      <c r="BI40" s="37" t="n">
        <f aca="false">IF(BD40&gt;=3,A40,999)</f>
        <v>999</v>
      </c>
    </row>
    <row r="41" customFormat="false" ht="15" hidden="false" customHeight="false" outlineLevel="0" collapsed="false">
      <c r="A41" s="31" t="n">
        <v>37</v>
      </c>
      <c r="B41" s="32" t="n">
        <f aca="false">DATE(2026,10+A41,1)</f>
        <v>47423</v>
      </c>
      <c r="C41" s="31" t="n">
        <f aca="false">INT((A41-1)/12)+1</f>
        <v>4</v>
      </c>
      <c r="D41" s="31" t="n">
        <f aca="false">IF(C41=1,Assumptions!$C$7,IF(C41=2,Assumptions!$C$8,Assumptions!$C$9))</f>
        <v>15</v>
      </c>
      <c r="E41" s="31" t="n">
        <f aca="false">D41*Assumptions!$C$10</f>
        <v>300</v>
      </c>
      <c r="F41" s="33" t="n">
        <f aca="false">E41*Assumptions!$C$11</f>
        <v>15</v>
      </c>
      <c r="G41" s="34" t="n">
        <f aca="false">MIN(1,Assumptions!$C$13+(1-Assumptions!$C$13)*(A41-1)/Assumptions!$C$14)</f>
        <v>1</v>
      </c>
      <c r="H41" s="33" t="n">
        <f aca="false">F41*Assumptions!$C$12*G41</f>
        <v>1.5</v>
      </c>
      <c r="I41" s="33" t="n">
        <f aca="false">Assumptions!$C$15*(Q40+R40+T40+U40)</f>
        <v>0.0815449329572502</v>
      </c>
      <c r="J41" s="33" t="n">
        <f aca="false">H41+I41</f>
        <v>1.58154493295725</v>
      </c>
      <c r="K41" s="33" t="n">
        <f aca="false">J41*Assumptions!$C$18</f>
        <v>0</v>
      </c>
      <c r="L41" s="33" t="n">
        <f aca="false">(J41-K41)*Assumptions!$C$17</f>
        <v>1.10708145307008</v>
      </c>
      <c r="M41" s="33" t="n">
        <f aca="false">J41-K41-L41</f>
        <v>0.474463479887175</v>
      </c>
      <c r="N41" s="33" t="n">
        <f aca="false">L41*Assumptions!$C$19</f>
        <v>0.166062217960511</v>
      </c>
      <c r="O41" s="33" t="n">
        <f aca="false">L41-N41</f>
        <v>0.941019235109564</v>
      </c>
      <c r="P41" s="33" t="n">
        <f aca="false">O29*(1-Assumptions!$C$20)^12</f>
        <v>0.726519948389002</v>
      </c>
      <c r="Q41" s="33" t="n">
        <f aca="false">Q40*(1-Assumptions!$C$20)+O41-P41</f>
        <v>10.0635149747789</v>
      </c>
      <c r="R41" s="33" t="n">
        <f aca="false">R40*(1-Assumptions!$C$22)+P41*(1-Assumptions!$C$21)</f>
        <v>5.28736918000937</v>
      </c>
      <c r="S41" s="33" t="n">
        <f aca="false">Q41+R41</f>
        <v>15.3508841547882</v>
      </c>
      <c r="T41" s="33" t="n">
        <f aca="false">T40*(1-Assumptions!$C$24)+M41*Assumptions!$C$23</f>
        <v>1.24982304087545</v>
      </c>
      <c r="U41" s="33" t="n">
        <f aca="false">U40*(1-Assumptions!$C$25)+K41</f>
        <v>0</v>
      </c>
      <c r="V41" s="33" t="n">
        <f aca="false">V40+M41</f>
        <v>13.3297944501949</v>
      </c>
      <c r="W41" s="33" t="n">
        <f aca="false">N41+Q40*Assumptions!$C$20+P41*Assumptions!$C$21+R40*Assumptions!$C$22+T40*Assumptions!$C$24+U40*Assumptions!$C$25</f>
        <v>0.910253544833861</v>
      </c>
      <c r="X41" s="33" t="n">
        <f aca="false">IF(A41&lt;Assumptions!$C$34,0,Assumptions!$C$36*MIN(1,(A41-Assumptions!$C$34+1)/Assumptions!$C$35))*(S41+T41)</f>
        <v>1.66007071956637</v>
      </c>
      <c r="Y41" s="31" t="n">
        <f aca="false">IF(Y40&gt;0,Y40,IF(AND(A41&gt;=Assumptions!$C$41,Q40+R40+T40&gt;=Assumptions!$C$40),A41,0))</f>
        <v>0</v>
      </c>
      <c r="Z41" s="33" t="n">
        <f aca="false">IF(Y41&gt;0,Assumptions!$C$42*MIN(1,(A41-Y41+1)/Assumptions!$C$43),0)*(S41+T41)</f>
        <v>0</v>
      </c>
      <c r="AA41" s="35" t="n">
        <f aca="false">(1+Assumptions!$C$32)^(C41-1)</f>
        <v>1</v>
      </c>
      <c r="AB41" s="36" t="n">
        <f aca="false">O41*Assumptions!$C$27*AA41</f>
        <v>93.1609042758468</v>
      </c>
      <c r="AC41" s="36" t="n">
        <f aca="false">(Q40+R40)*Assumptions!$C$28*AA41</f>
        <v>1492.95339154834</v>
      </c>
      <c r="AD41" s="36" t="n">
        <f aca="false">M41*Assumptions!$C$29*AA41</f>
        <v>236.7572764637</v>
      </c>
      <c r="AE41" s="36" t="n">
        <f aca="false">T40*Assumptions!$C$30*AA41</f>
        <v>97.0632949435568</v>
      </c>
      <c r="AF41" s="36" t="n">
        <f aca="false">U40*Assumptions!$C$31*AA41</f>
        <v>0</v>
      </c>
      <c r="AG41" s="36" t="n">
        <f aca="false">X41*Assumptions!$C$37*Assumptions!$C$38</f>
        <v>83.0035359783185</v>
      </c>
      <c r="AH41" s="36" t="n">
        <f aca="false">Z41*Assumptions!$C$44*Assumptions!$C$45</f>
        <v>0</v>
      </c>
      <c r="AI41" s="36" t="n">
        <f aca="false">SUM(AB41:AH41)</f>
        <v>2002.93840320976</v>
      </c>
      <c r="AJ41" s="36" t="n">
        <f aca="false">(S41*Assumptions!$C$28+T41*Assumptions!$C$30+U41*Assumptions!$C$31)*AA41+AG41+AH41</f>
        <v>1701.47708753152</v>
      </c>
      <c r="AK41" s="36" t="n">
        <f aca="false">(AI41-AH41)*Assumptions!$C$49</f>
        <v>80.1175361283904</v>
      </c>
      <c r="AL41" s="36" t="n">
        <f aca="false">(AC41+AE41+AF41)*Assumptions!$C$50</f>
        <v>11.1301168054433</v>
      </c>
      <c r="AM41" s="36" t="n">
        <f aca="false">S41*Assumptions!$C$51+M41*Assumptions!$C$52</f>
        <v>26.3055573917929</v>
      </c>
      <c r="AN41" s="36" t="n">
        <f aca="false">Assumptions!$C$53+Assumptions!$C$54*(S41+T41+U41)</f>
        <v>266.402828782655</v>
      </c>
      <c r="AO41" s="36" t="n">
        <f aca="false">IF(C41&gt;=2,Assumptions!$C$55,0)</f>
        <v>100</v>
      </c>
      <c r="AP41" s="33" t="n">
        <f aca="false">E41*Assumptions!$C$60/60+F41*Assumptions!$C$61+J41*Assumptions!$C$62+(S41+T41)*Assumptions!$C$63+X41*Assumptions!$C$64+Z41*Assumptions!$C$65+U41*Assumptions!$C$66+Assumptions!$C$67*52/12</f>
        <v>86.769488602882</v>
      </c>
      <c r="AQ41" s="33" t="n">
        <f aca="false">IF(BC40=1,Assumptions!$C$69,Assumptions!$C$68)*52/12</f>
        <v>78</v>
      </c>
      <c r="AR41" s="33" t="n">
        <f aca="false">MAX(0,AP41-AQ41)</f>
        <v>8.76948860288204</v>
      </c>
      <c r="AS41" s="36" t="n">
        <f aca="false">AR41*Assumptions!$C$70*Assumptions!$C$71</f>
        <v>114.003351837466</v>
      </c>
      <c r="AT41" s="36" t="n">
        <f aca="false">Assumptions!$C$56/12</f>
        <v>100</v>
      </c>
      <c r="AU41" s="36" t="n">
        <f aca="false">IF(A41=1,Assumptions!$C$57,0)+Assumptions!$C$58</f>
        <v>60</v>
      </c>
      <c r="AV41" s="36" t="n">
        <f aca="false">IF(AND(Y41&gt;0,Y41=A41),Assumptions!$C$46,0)+IF(Y41&gt;0,Assumptions!$C$47,0)</f>
        <v>0</v>
      </c>
      <c r="AW41" s="36" t="n">
        <f aca="false">AK41+AL41+AM41+AN41+AO41+AS41+AT41+AU41+AV41</f>
        <v>757.959390945748</v>
      </c>
      <c r="AX41" s="36" t="n">
        <f aca="false">AI41-AW41</f>
        <v>1244.97901226401</v>
      </c>
      <c r="AY41" s="36" t="n">
        <f aca="false">MAX(0,AX41)*Assumptions!$C$73</f>
        <v>373.493703679204</v>
      </c>
      <c r="AZ41" s="36" t="n">
        <f aca="false">AX41-AY41</f>
        <v>871.485308584809</v>
      </c>
      <c r="BA41" s="36" t="n">
        <f aca="false">BA40+AZ41</f>
        <v>13689.9956000327</v>
      </c>
      <c r="BB41" s="31" t="n">
        <f aca="false">IF(AZ41&gt;=Assumptions!$C$74/12,BB40+1,0)</f>
        <v>0</v>
      </c>
      <c r="BC41" s="31" t="n">
        <f aca="false">IF(OR(BC40=1,BB41&gt;=3),1,0)</f>
        <v>0</v>
      </c>
      <c r="BD41" s="31" t="n">
        <f aca="false">IF(AZ41&gt;=Assumptions!$C$75/12,BD40+1,0)</f>
        <v>0</v>
      </c>
      <c r="BE41" s="33" t="n">
        <f aca="false">AP41*12/52</f>
        <v>20.0237281391266</v>
      </c>
      <c r="BF41" s="33" t="n">
        <f aca="false">AR41*12/52</f>
        <v>2.02372813912662</v>
      </c>
      <c r="BG41" s="31" t="n">
        <f aca="false">IF(AX41&gt;0,A41,999)</f>
        <v>37</v>
      </c>
      <c r="BH41" s="31" t="n">
        <f aca="false">IF(BB41&gt;=3,A41,999)</f>
        <v>999</v>
      </c>
      <c r="BI41" s="31" t="n">
        <f aca="false">IF(BD41&gt;=3,A41,999)</f>
        <v>999</v>
      </c>
    </row>
    <row r="42" customFormat="false" ht="15" hidden="false" customHeight="false" outlineLevel="0" collapsed="false">
      <c r="A42" s="31" t="n">
        <v>38</v>
      </c>
      <c r="B42" s="32" t="n">
        <f aca="false">DATE(2026,10+A42,1)</f>
        <v>47453</v>
      </c>
      <c r="C42" s="31" t="n">
        <f aca="false">INT((A42-1)/12)+1</f>
        <v>4</v>
      </c>
      <c r="D42" s="31" t="n">
        <f aca="false">IF(C42=1,Assumptions!$C$7,IF(C42=2,Assumptions!$C$8,Assumptions!$C$9))</f>
        <v>15</v>
      </c>
      <c r="E42" s="31" t="n">
        <f aca="false">D42*Assumptions!$C$10</f>
        <v>300</v>
      </c>
      <c r="F42" s="33" t="n">
        <f aca="false">E42*Assumptions!$C$11</f>
        <v>15</v>
      </c>
      <c r="G42" s="34" t="n">
        <f aca="false">MIN(1,Assumptions!$C$13+(1-Assumptions!$C$13)*(A42-1)/Assumptions!$C$14)</f>
        <v>1</v>
      </c>
      <c r="H42" s="33" t="n">
        <f aca="false">F42*Assumptions!$C$12*G42</f>
        <v>1.5</v>
      </c>
      <c r="I42" s="33" t="n">
        <f aca="false">Assumptions!$C$15*(Q41+R41+T41+U41)</f>
        <v>0.0830035359783185</v>
      </c>
      <c r="J42" s="33" t="n">
        <f aca="false">H42+I42</f>
        <v>1.58300353597832</v>
      </c>
      <c r="K42" s="33" t="n">
        <f aca="false">J42*Assumptions!$C$18</f>
        <v>0</v>
      </c>
      <c r="L42" s="33" t="n">
        <f aca="false">(J42-K42)*Assumptions!$C$17</f>
        <v>1.10810247518482</v>
      </c>
      <c r="M42" s="33" t="n">
        <f aca="false">J42-K42-L42</f>
        <v>0.474901060793496</v>
      </c>
      <c r="N42" s="33" t="n">
        <f aca="false">L42*Assumptions!$C$19</f>
        <v>0.166215371277723</v>
      </c>
      <c r="O42" s="33" t="n">
        <f aca="false">L42-N42</f>
        <v>0.9418871039071</v>
      </c>
      <c r="P42" s="33" t="n">
        <f aca="false">O30*(1-Assumptions!$C$20)^12</f>
        <v>0.727727424635399</v>
      </c>
      <c r="Q42" s="33" t="n">
        <f aca="false">Q41*(1-Assumptions!$C$20)+O42-P42</f>
        <v>10.076404354555</v>
      </c>
      <c r="R42" s="33" t="n">
        <f aca="false">R41*(1-Assumptions!$C$22)+P42*(1-Assumptions!$C$21)</f>
        <v>5.53240991825368</v>
      </c>
      <c r="S42" s="33" t="n">
        <f aca="false">Q42+R42</f>
        <v>15.6088142728087</v>
      </c>
      <c r="T42" s="33" t="n">
        <f aca="false">T41*(1-Assumptions!$C$24)+M42*Assumptions!$C$23</f>
        <v>1.26981387058162</v>
      </c>
      <c r="U42" s="33" t="n">
        <f aca="false">U41*(1-Assumptions!$C$25)+K42</f>
        <v>0</v>
      </c>
      <c r="V42" s="33" t="n">
        <f aca="false">V41+M42</f>
        <v>13.8046955109884</v>
      </c>
      <c r="W42" s="33" t="n">
        <f aca="false">N42+Q41*Assumptions!$C$20+P42*Assumptions!$C$21+R41*Assumptions!$C$22+T41*Assumptions!$C$24+U41*Assumptions!$C$25</f>
        <v>0.925161739616916</v>
      </c>
      <c r="X42" s="33" t="n">
        <f aca="false">IF(A42&lt;Assumptions!$C$34,0,Assumptions!$C$36*MIN(1,(A42-Assumptions!$C$34+1)/Assumptions!$C$35))*(S42+T42)</f>
        <v>1.68786281433903</v>
      </c>
      <c r="Y42" s="31" t="n">
        <f aca="false">IF(Y41&gt;0,Y41,IF(AND(A42&gt;=Assumptions!$C$41,Q41+R41+T41&gt;=Assumptions!$C$40),A42,0))</f>
        <v>0</v>
      </c>
      <c r="Z42" s="33" t="n">
        <f aca="false">IF(Y42&gt;0,Assumptions!$C$42*MIN(1,(A42-Y42+1)/Assumptions!$C$43),0)*(S42+T42)</f>
        <v>0</v>
      </c>
      <c r="AA42" s="35" t="n">
        <f aca="false">(1+Assumptions!$C$32)^(C42-1)</f>
        <v>1</v>
      </c>
      <c r="AB42" s="36" t="n">
        <f aca="false">O42*Assumptions!$C$27*AA42</f>
        <v>93.2468232868029</v>
      </c>
      <c r="AC42" s="36" t="n">
        <f aca="false">(Q41+R41)*Assumptions!$C$28*AA42</f>
        <v>1519.73753132404</v>
      </c>
      <c r="AD42" s="36" t="n">
        <f aca="false">M42*Assumptions!$C$29*AA42</f>
        <v>236.975629335954</v>
      </c>
      <c r="AE42" s="36" t="n">
        <f aca="false">T41*Assumptions!$C$30*AA42</f>
        <v>98.7360202291608</v>
      </c>
      <c r="AF42" s="36" t="n">
        <f aca="false">U41*Assumptions!$C$31*AA42</f>
        <v>0</v>
      </c>
      <c r="AG42" s="36" t="n">
        <f aca="false">X42*Assumptions!$C$37*Assumptions!$C$38</f>
        <v>84.3931407169515</v>
      </c>
      <c r="AH42" s="36" t="n">
        <f aca="false">Z42*Assumptions!$C$44*Assumptions!$C$45</f>
        <v>0</v>
      </c>
      <c r="AI42" s="36" t="n">
        <f aca="false">SUM(AB42:AH42)</f>
        <v>2033.08914489291</v>
      </c>
      <c r="AJ42" s="36" t="n">
        <f aca="false">(S42*Assumptions!$C$28+T42*Assumptions!$C$30+U42*Assumptions!$C$31)*AA42+AG42+AH42</f>
        <v>1729.98104950096</v>
      </c>
      <c r="AK42" s="36" t="n">
        <f aca="false">(AI42-AH42)*Assumptions!$C$49</f>
        <v>81.3235657957162</v>
      </c>
      <c r="AL42" s="36" t="n">
        <f aca="false">(AC42+AE42+AF42)*Assumptions!$C$50</f>
        <v>11.3293148608724</v>
      </c>
      <c r="AM42" s="36" t="n">
        <f aca="false">S42*Assumptions!$C$51+M42*Assumptions!$C$52</f>
        <v>26.6345337529133</v>
      </c>
      <c r="AN42" s="36" t="n">
        <f aca="false">Assumptions!$C$53+Assumptions!$C$54*(S42+T42+U42)</f>
        <v>267.514512573561</v>
      </c>
      <c r="AO42" s="36" t="n">
        <f aca="false">IF(C42&gt;=2,Assumptions!$C$55,0)</f>
        <v>100</v>
      </c>
      <c r="AP42" s="33" t="n">
        <f aca="false">E42*Assumptions!$C$60/60+F42*Assumptions!$C$61+J42*Assumptions!$C$62+(S42+T42)*Assumptions!$C$63+X42*Assumptions!$C$64+Z42*Assumptions!$C$65+U42*Assumptions!$C$66+Assumptions!$C$67*52/12</f>
        <v>87.3713944495574</v>
      </c>
      <c r="AQ42" s="33" t="n">
        <f aca="false">IF(BC41=1,Assumptions!$C$69,Assumptions!$C$68)*52/12</f>
        <v>78</v>
      </c>
      <c r="AR42" s="33" t="n">
        <f aca="false">MAX(0,AP42-AQ42)</f>
        <v>9.37139444955744</v>
      </c>
      <c r="AS42" s="36" t="n">
        <f aca="false">AR42*Assumptions!$C$70*Assumptions!$C$71</f>
        <v>121.828127844247</v>
      </c>
      <c r="AT42" s="36" t="n">
        <f aca="false">Assumptions!$C$56/12</f>
        <v>100</v>
      </c>
      <c r="AU42" s="36" t="n">
        <f aca="false">IF(A42=1,Assumptions!$C$57,0)+Assumptions!$C$58</f>
        <v>60</v>
      </c>
      <c r="AV42" s="36" t="n">
        <f aca="false">IF(AND(Y42&gt;0,Y42=A42),Assumptions!$C$46,0)+IF(Y42&gt;0,Assumptions!$C$47,0)</f>
        <v>0</v>
      </c>
      <c r="AW42" s="36" t="n">
        <f aca="false">AK42+AL42+AM42+AN42+AO42+AS42+AT42+AU42+AV42</f>
        <v>768.63005482731</v>
      </c>
      <c r="AX42" s="36" t="n">
        <f aca="false">AI42-AW42</f>
        <v>1264.4590900656</v>
      </c>
      <c r="AY42" s="36" t="n">
        <f aca="false">MAX(0,AX42)*Assumptions!$C$73</f>
        <v>379.337727019679</v>
      </c>
      <c r="AZ42" s="36" t="n">
        <f aca="false">AX42-AY42</f>
        <v>885.121363045917</v>
      </c>
      <c r="BA42" s="36" t="n">
        <f aca="false">BA41+AZ42</f>
        <v>14575.1169630786</v>
      </c>
      <c r="BB42" s="31" t="n">
        <f aca="false">IF(AZ42&gt;=Assumptions!$C$74/12,BB41+1,0)</f>
        <v>0</v>
      </c>
      <c r="BC42" s="31" t="n">
        <f aca="false">IF(OR(BC41=1,BB42&gt;=3),1,0)</f>
        <v>0</v>
      </c>
      <c r="BD42" s="31" t="n">
        <f aca="false">IF(AZ42&gt;=Assumptions!$C$75/12,BD41+1,0)</f>
        <v>0</v>
      </c>
      <c r="BE42" s="33" t="n">
        <f aca="false">AP42*12/52</f>
        <v>20.1626294883594</v>
      </c>
      <c r="BF42" s="33" t="n">
        <f aca="false">AR42*12/52</f>
        <v>2.16262948835941</v>
      </c>
      <c r="BG42" s="31" t="n">
        <f aca="false">IF(AX42&gt;0,A42,999)</f>
        <v>38</v>
      </c>
      <c r="BH42" s="31" t="n">
        <f aca="false">IF(BB42&gt;=3,A42,999)</f>
        <v>999</v>
      </c>
      <c r="BI42" s="31" t="n">
        <f aca="false">IF(BD42&gt;=3,A42,999)</f>
        <v>999</v>
      </c>
    </row>
    <row r="43" customFormat="false" ht="15" hidden="false" customHeight="false" outlineLevel="0" collapsed="false">
      <c r="A43" s="31" t="n">
        <v>39</v>
      </c>
      <c r="B43" s="32" t="n">
        <f aca="false">DATE(2026,10+A43,1)</f>
        <v>47484</v>
      </c>
      <c r="C43" s="31" t="n">
        <f aca="false">INT((A43-1)/12)+1</f>
        <v>4</v>
      </c>
      <c r="D43" s="31" t="n">
        <f aca="false">IF(C43=1,Assumptions!$C$7,IF(C43=2,Assumptions!$C$8,Assumptions!$C$9))</f>
        <v>15</v>
      </c>
      <c r="E43" s="31" t="n">
        <f aca="false">D43*Assumptions!$C$10</f>
        <v>300</v>
      </c>
      <c r="F43" s="33" t="n">
        <f aca="false">E43*Assumptions!$C$11</f>
        <v>15</v>
      </c>
      <c r="G43" s="34" t="n">
        <f aca="false">MIN(1,Assumptions!$C$13+(1-Assumptions!$C$13)*(A43-1)/Assumptions!$C$14)</f>
        <v>1</v>
      </c>
      <c r="H43" s="33" t="n">
        <f aca="false">F43*Assumptions!$C$12*G43</f>
        <v>1.5</v>
      </c>
      <c r="I43" s="33" t="n">
        <f aca="false">Assumptions!$C$15*(Q42+R42+T42+U42)</f>
        <v>0.0843931407169515</v>
      </c>
      <c r="J43" s="33" t="n">
        <f aca="false">H43+I43</f>
        <v>1.58439314071695</v>
      </c>
      <c r="K43" s="33" t="n">
        <f aca="false">J43*Assumptions!$C$18</f>
        <v>0</v>
      </c>
      <c r="L43" s="33" t="n">
        <f aca="false">(J43-K43)*Assumptions!$C$17</f>
        <v>1.10907519850187</v>
      </c>
      <c r="M43" s="33" t="n">
        <f aca="false">J43-K43-L43</f>
        <v>0.475317942215086</v>
      </c>
      <c r="N43" s="33" t="n">
        <f aca="false">L43*Assumptions!$C$19</f>
        <v>0.16636127977528</v>
      </c>
      <c r="O43" s="33" t="n">
        <f aca="false">L43-N43</f>
        <v>0.942713918726586</v>
      </c>
      <c r="P43" s="33" t="n">
        <f aca="false">O31*(1-Assumptions!$C$20)^12</f>
        <v>0.728890053238127</v>
      </c>
      <c r="Q43" s="33" t="n">
        <f aca="false">Q42*(1-Assumptions!$C$20)+O43-P43</f>
        <v>10.0887001329524</v>
      </c>
      <c r="R43" s="33" t="n">
        <f aca="false">R42*(1-Assumptions!$C$22)+P43*(1-Assumptions!$C$21)</f>
        <v>5.76601245960769</v>
      </c>
      <c r="S43" s="33" t="n">
        <f aca="false">Q43+R43</f>
        <v>15.85471259256</v>
      </c>
      <c r="T43" s="33" t="n">
        <f aca="false">T42*(1-Assumptions!$C$24)+M43*Assumptions!$C$23</f>
        <v>1.28868862678974</v>
      </c>
      <c r="U43" s="33" t="n">
        <f aca="false">U42*(1-Assumptions!$C$25)+K43</f>
        <v>0</v>
      </c>
      <c r="V43" s="33" t="n">
        <f aca="false">V42+M43</f>
        <v>14.2800134532034</v>
      </c>
      <c r="W43" s="33" t="n">
        <f aca="false">N43+Q42*Assumptions!$C$20+P43*Assumptions!$C$21+R42*Assumptions!$C$22+T42*Assumptions!$C$24+U42*Assumptions!$C$25</f>
        <v>0.939365710985399</v>
      </c>
      <c r="X43" s="33" t="n">
        <f aca="false">IF(A43&lt;Assumptions!$C$34,0,Assumptions!$C$36*MIN(1,(A43-Assumptions!$C$34+1)/Assumptions!$C$35))*(S43+T43)</f>
        <v>1.71434012193498</v>
      </c>
      <c r="Y43" s="31" t="n">
        <f aca="false">IF(Y42&gt;0,Y42,IF(AND(A43&gt;=Assumptions!$C$41,Q42+R42+T42&gt;=Assumptions!$C$40),A43,0))</f>
        <v>0</v>
      </c>
      <c r="Z43" s="33" t="n">
        <f aca="false">IF(Y43&gt;0,Assumptions!$C$42*MIN(1,(A43-Y43+1)/Assumptions!$C$43),0)*(S43+T43)</f>
        <v>0</v>
      </c>
      <c r="AA43" s="35" t="n">
        <f aca="false">(1+Assumptions!$C$32)^(C43-1)</f>
        <v>1</v>
      </c>
      <c r="AB43" s="36" t="n">
        <f aca="false">O43*Assumptions!$C$27*AA43</f>
        <v>93.328677953932</v>
      </c>
      <c r="AC43" s="36" t="n">
        <f aca="false">(Q42+R42)*Assumptions!$C$28*AA43</f>
        <v>1545.27261300806</v>
      </c>
      <c r="AD43" s="36" t="n">
        <f aca="false">M43*Assumptions!$C$29*AA43</f>
        <v>237.183653165328</v>
      </c>
      <c r="AE43" s="36" t="n">
        <f aca="false">T42*Assumptions!$C$30*AA43</f>
        <v>100.315295775948</v>
      </c>
      <c r="AF43" s="36" t="n">
        <f aca="false">U42*Assumptions!$C$31*AA43</f>
        <v>0</v>
      </c>
      <c r="AG43" s="36" t="n">
        <f aca="false">X43*Assumptions!$C$37*Assumptions!$C$38</f>
        <v>85.7170060967489</v>
      </c>
      <c r="AH43" s="36" t="n">
        <f aca="false">Z43*Assumptions!$C$44*Assumptions!$C$45</f>
        <v>0</v>
      </c>
      <c r="AI43" s="36" t="n">
        <f aca="false">SUM(AB43:AH43)</f>
        <v>2061.81724600002</v>
      </c>
      <c r="AJ43" s="36" t="n">
        <f aca="false">(S43*Assumptions!$C$28+T43*Assumptions!$C$30+U43*Assumptions!$C$31)*AA43+AG43+AH43</f>
        <v>1757.13995427658</v>
      </c>
      <c r="AK43" s="36" t="n">
        <f aca="false">(AI43-AH43)*Assumptions!$C$49</f>
        <v>82.4726898400006</v>
      </c>
      <c r="AL43" s="36" t="n">
        <f aca="false">(AC43+AE43+AF43)*Assumptions!$C$50</f>
        <v>11.5191153614881</v>
      </c>
      <c r="AM43" s="36" t="n">
        <f aca="false">S43*Assumptions!$C$51+M43*Assumptions!$C$52</f>
        <v>26.9481598739263</v>
      </c>
      <c r="AN43" s="36" t="n">
        <f aca="false">Assumptions!$C$53+Assumptions!$C$54*(S43+T43+U43)</f>
        <v>268.573604877399</v>
      </c>
      <c r="AO43" s="36" t="n">
        <f aca="false">IF(C43&gt;=2,Assumptions!$C$55,0)</f>
        <v>100</v>
      </c>
      <c r="AP43" s="33" t="n">
        <f aca="false">E43*Assumptions!$C$60/60+F43*Assumptions!$C$61+J43*Assumptions!$C$62+(S43+T43)*Assumptions!$C$63+X43*Assumptions!$C$64+Z43*Assumptions!$C$65+U43*Assumptions!$C$66+Assumptions!$C$67*52/12</f>
        <v>87.9448253770862</v>
      </c>
      <c r="AQ43" s="33" t="n">
        <f aca="false">IF(BC42=1,Assumptions!$C$69,Assumptions!$C$68)*52/12</f>
        <v>78</v>
      </c>
      <c r="AR43" s="33" t="n">
        <f aca="false">MAX(0,AP43-AQ43)</f>
        <v>9.94482537708622</v>
      </c>
      <c r="AS43" s="36" t="n">
        <f aca="false">AR43*Assumptions!$C$70*Assumptions!$C$71</f>
        <v>129.282729902121</v>
      </c>
      <c r="AT43" s="36" t="n">
        <f aca="false">Assumptions!$C$56/12</f>
        <v>100</v>
      </c>
      <c r="AU43" s="36" t="n">
        <f aca="false">IF(A43=1,Assumptions!$C$57,0)+Assumptions!$C$58</f>
        <v>60</v>
      </c>
      <c r="AV43" s="36" t="n">
        <f aca="false">IF(AND(Y43&gt;0,Y43=A43),Assumptions!$C$46,0)+IF(Y43&gt;0,Assumptions!$C$47,0)</f>
        <v>0</v>
      </c>
      <c r="AW43" s="36" t="n">
        <f aca="false">AK43+AL43+AM43+AN43+AO43+AS43+AT43+AU43+AV43</f>
        <v>778.796299854935</v>
      </c>
      <c r="AX43" s="36" t="n">
        <f aca="false">AI43-AW43</f>
        <v>1283.02094614508</v>
      </c>
      <c r="AY43" s="36" t="n">
        <f aca="false">MAX(0,AX43)*Assumptions!$C$73</f>
        <v>384.906283843524</v>
      </c>
      <c r="AZ43" s="36" t="n">
        <f aca="false">AX43-AY43</f>
        <v>898.114662301557</v>
      </c>
      <c r="BA43" s="36" t="n">
        <f aca="false">BA42+AZ43</f>
        <v>15473.2316253802</v>
      </c>
      <c r="BB43" s="31" t="n">
        <f aca="false">IF(AZ43&gt;=Assumptions!$C$74/12,BB42+1,0)</f>
        <v>0</v>
      </c>
      <c r="BC43" s="31" t="n">
        <f aca="false">IF(OR(BC42=1,BB43&gt;=3),1,0)</f>
        <v>0</v>
      </c>
      <c r="BD43" s="31" t="n">
        <f aca="false">IF(AZ43&gt;=Assumptions!$C$75/12,BD42+1,0)</f>
        <v>0</v>
      </c>
      <c r="BE43" s="33" t="n">
        <f aca="false">AP43*12/52</f>
        <v>20.2949597024045</v>
      </c>
      <c r="BF43" s="33" t="n">
        <f aca="false">AR43*12/52</f>
        <v>2.29495970240451</v>
      </c>
      <c r="BG43" s="31" t="n">
        <f aca="false">IF(AX43&gt;0,A43,999)</f>
        <v>39</v>
      </c>
      <c r="BH43" s="31" t="n">
        <f aca="false">IF(BB43&gt;=3,A43,999)</f>
        <v>999</v>
      </c>
      <c r="BI43" s="31" t="n">
        <f aca="false">IF(BD43&gt;=3,A43,999)</f>
        <v>999</v>
      </c>
    </row>
    <row r="44" customFormat="false" ht="15" hidden="false" customHeight="false" outlineLevel="0" collapsed="false">
      <c r="A44" s="31" t="n">
        <v>40</v>
      </c>
      <c r="B44" s="32" t="n">
        <f aca="false">DATE(2026,10+A44,1)</f>
        <v>47515</v>
      </c>
      <c r="C44" s="31" t="n">
        <f aca="false">INT((A44-1)/12)+1</f>
        <v>4</v>
      </c>
      <c r="D44" s="31" t="n">
        <f aca="false">IF(C44=1,Assumptions!$C$7,IF(C44=2,Assumptions!$C$8,Assumptions!$C$9))</f>
        <v>15</v>
      </c>
      <c r="E44" s="31" t="n">
        <f aca="false">D44*Assumptions!$C$10</f>
        <v>300</v>
      </c>
      <c r="F44" s="33" t="n">
        <f aca="false">E44*Assumptions!$C$11</f>
        <v>15</v>
      </c>
      <c r="G44" s="34" t="n">
        <f aca="false">MIN(1,Assumptions!$C$13+(1-Assumptions!$C$13)*(A44-1)/Assumptions!$C$14)</f>
        <v>1</v>
      </c>
      <c r="H44" s="33" t="n">
        <f aca="false">F44*Assumptions!$C$12*G44</f>
        <v>1.5</v>
      </c>
      <c r="I44" s="33" t="n">
        <f aca="false">Assumptions!$C$15*(Q43+R43+T43+U43)</f>
        <v>0.0857170060967489</v>
      </c>
      <c r="J44" s="33" t="n">
        <f aca="false">H44+I44</f>
        <v>1.58571700609675</v>
      </c>
      <c r="K44" s="33" t="n">
        <f aca="false">J44*Assumptions!$C$18</f>
        <v>0</v>
      </c>
      <c r="L44" s="33" t="n">
        <f aca="false">(J44-K44)*Assumptions!$C$17</f>
        <v>1.11000190426772</v>
      </c>
      <c r="M44" s="33" t="n">
        <f aca="false">J44-K44-L44</f>
        <v>0.475715101829025</v>
      </c>
      <c r="N44" s="33" t="n">
        <f aca="false">L44*Assumptions!$C$19</f>
        <v>0.166500285640159</v>
      </c>
      <c r="O44" s="33" t="n">
        <f aca="false">L44-N44</f>
        <v>0.943501618627566</v>
      </c>
      <c r="P44" s="33" t="n">
        <f aca="false">O32*(1-Assumptions!$C$20)^12</f>
        <v>0.730009761776178</v>
      </c>
      <c r="Q44" s="33" t="n">
        <f aca="false">Q43*(1-Assumptions!$C$20)+O44-P44</f>
        <v>10.1004179871447</v>
      </c>
      <c r="R44" s="33" t="n">
        <f aca="false">R43*(1-Assumptions!$C$22)+P44*(1-Assumptions!$C$21)</f>
        <v>5.98871866987063</v>
      </c>
      <c r="S44" s="33" t="n">
        <f aca="false">Q44+R44</f>
        <v>16.0891366570153</v>
      </c>
      <c r="T44" s="33" t="n">
        <f aca="false">T43*(1-Assumptions!$C$24)+M44*Assumptions!$C$23</f>
        <v>1.30651032954816</v>
      </c>
      <c r="U44" s="33" t="n">
        <f aca="false">U43*(1-Assumptions!$C$25)+K44</f>
        <v>0</v>
      </c>
      <c r="V44" s="33" t="n">
        <f aca="false">V43+M44</f>
        <v>14.7557285550325</v>
      </c>
      <c r="W44" s="33" t="n">
        <f aca="false">N44+Q43*Assumptions!$C$20+P44*Assumptions!$C$21+R43*Assumptions!$C$22+T43*Assumptions!$C$24+U43*Assumptions!$C$25</f>
        <v>0.952899157419828</v>
      </c>
      <c r="X44" s="33" t="n">
        <f aca="false">IF(A44&lt;Assumptions!$C$34,0,Assumptions!$C$36*MIN(1,(A44-Assumptions!$C$34+1)/Assumptions!$C$35))*(S44+T44)</f>
        <v>1.73956469865635</v>
      </c>
      <c r="Y44" s="31" t="n">
        <f aca="false">IF(Y43&gt;0,Y43,IF(AND(A44&gt;=Assumptions!$C$41,Q43+R43+T43&gt;=Assumptions!$C$40),A44,0))</f>
        <v>0</v>
      </c>
      <c r="Z44" s="33" t="n">
        <f aca="false">IF(Y44&gt;0,Assumptions!$C$42*MIN(1,(A44-Y44+1)/Assumptions!$C$43),0)*(S44+T44)</f>
        <v>0</v>
      </c>
      <c r="AA44" s="35" t="n">
        <f aca="false">(1+Assumptions!$C$32)^(C44-1)</f>
        <v>1</v>
      </c>
      <c r="AB44" s="36" t="n">
        <f aca="false">O44*Assumptions!$C$27*AA44</f>
        <v>93.406660244129</v>
      </c>
      <c r="AC44" s="36" t="n">
        <f aca="false">(Q43+R43)*Assumptions!$C$28*AA44</f>
        <v>1569.61654666344</v>
      </c>
      <c r="AD44" s="36" t="n">
        <f aca="false">M44*Assumptions!$C$29*AA44</f>
        <v>237.381835812683</v>
      </c>
      <c r="AE44" s="36" t="n">
        <f aca="false">T43*Assumptions!$C$30*AA44</f>
        <v>101.80640151639</v>
      </c>
      <c r="AF44" s="36" t="n">
        <f aca="false">U43*Assumptions!$C$31*AA44</f>
        <v>0</v>
      </c>
      <c r="AG44" s="36" t="n">
        <f aca="false">X44*Assumptions!$C$37*Assumptions!$C$38</f>
        <v>86.9782349328174</v>
      </c>
      <c r="AH44" s="36" t="n">
        <f aca="false">Z44*Assumptions!$C$44*Assumptions!$C$45</f>
        <v>0</v>
      </c>
      <c r="AI44" s="36" t="n">
        <f aca="false">SUM(AB44:AH44)</f>
        <v>2089.18967916946</v>
      </c>
      <c r="AJ44" s="36" t="n">
        <f aca="false">(S44*Assumptions!$C$28+T44*Assumptions!$C$30+U44*Assumptions!$C$31)*AA44+AG44+AH44</f>
        <v>1783.01708001164</v>
      </c>
      <c r="AK44" s="36" t="n">
        <f aca="false">(AI44-AH44)*Assumptions!$C$49</f>
        <v>83.5675871667785</v>
      </c>
      <c r="AL44" s="36" t="n">
        <f aca="false">(AC44+AE44+AF44)*Assumptions!$C$50</f>
        <v>11.6999606372588</v>
      </c>
      <c r="AM44" s="36" t="n">
        <f aca="false">S44*Assumptions!$C$51+M44*Assumptions!$C$52</f>
        <v>27.2471473487045</v>
      </c>
      <c r="AN44" s="36" t="n">
        <f aca="false">Assumptions!$C$53+Assumptions!$C$54*(S44+T44+U44)</f>
        <v>269.582587946254</v>
      </c>
      <c r="AO44" s="36" t="n">
        <f aca="false">IF(C44&gt;=2,Assumptions!$C$55,0)</f>
        <v>100</v>
      </c>
      <c r="AP44" s="33" t="n">
        <f aca="false">E44*Assumptions!$C$60/60+F44*Assumptions!$C$61+J44*Assumptions!$C$62+(S44+T44)*Assumptions!$C$63+X44*Assumptions!$C$64+Z44*Assumptions!$C$65+U44*Assumptions!$C$66+Assumptions!$C$67*52/12</f>
        <v>88.4911253727351</v>
      </c>
      <c r="AQ44" s="33" t="n">
        <f aca="false">IF(BC43=1,Assumptions!$C$69,Assumptions!$C$68)*52/12</f>
        <v>78</v>
      </c>
      <c r="AR44" s="33" t="n">
        <f aca="false">MAX(0,AP44-AQ44)</f>
        <v>10.4911253727351</v>
      </c>
      <c r="AS44" s="36" t="n">
        <f aca="false">AR44*Assumptions!$C$70*Assumptions!$C$71</f>
        <v>136.384629845556</v>
      </c>
      <c r="AT44" s="36" t="n">
        <f aca="false">Assumptions!$C$56/12</f>
        <v>100</v>
      </c>
      <c r="AU44" s="36" t="n">
        <f aca="false">IF(A44=1,Assumptions!$C$57,0)+Assumptions!$C$58</f>
        <v>60</v>
      </c>
      <c r="AV44" s="36" t="n">
        <f aca="false">IF(AND(Y44&gt;0,Y44=A44),Assumptions!$C$46,0)+IF(Y44&gt;0,Assumptions!$C$47,0)</f>
        <v>0</v>
      </c>
      <c r="AW44" s="36" t="n">
        <f aca="false">AK44+AL44+AM44+AN44+AO44+AS44+AT44+AU44+AV44</f>
        <v>788.481912944552</v>
      </c>
      <c r="AX44" s="36" t="n">
        <f aca="false">AI44-AW44</f>
        <v>1300.70776622491</v>
      </c>
      <c r="AY44" s="36" t="n">
        <f aca="false">MAX(0,AX44)*Assumptions!$C$73</f>
        <v>390.212329867474</v>
      </c>
      <c r="AZ44" s="36" t="n">
        <f aca="false">AX44-AY44</f>
        <v>910.495436357438</v>
      </c>
      <c r="BA44" s="36" t="n">
        <f aca="false">BA43+AZ44</f>
        <v>16383.7270617376</v>
      </c>
      <c r="BB44" s="31" t="n">
        <f aca="false">IF(AZ44&gt;=Assumptions!$C$74/12,BB43+1,0)</f>
        <v>0</v>
      </c>
      <c r="BC44" s="31" t="n">
        <f aca="false">IF(OR(BC43=1,BB44&gt;=3),1,0)</f>
        <v>0</v>
      </c>
      <c r="BD44" s="31" t="n">
        <f aca="false">IF(AZ44&gt;=Assumptions!$C$75/12,BD43+1,0)</f>
        <v>0</v>
      </c>
      <c r="BE44" s="33" t="n">
        <f aca="false">AP44*12/52</f>
        <v>20.4210289321696</v>
      </c>
      <c r="BF44" s="33" t="n">
        <f aca="false">AR44*12/52</f>
        <v>2.42102893216963</v>
      </c>
      <c r="BG44" s="31" t="n">
        <f aca="false">IF(AX44&gt;0,A44,999)</f>
        <v>40</v>
      </c>
      <c r="BH44" s="31" t="n">
        <f aca="false">IF(BB44&gt;=3,A44,999)</f>
        <v>999</v>
      </c>
      <c r="BI44" s="31" t="n">
        <f aca="false">IF(BD44&gt;=3,A44,999)</f>
        <v>999</v>
      </c>
    </row>
    <row r="45" customFormat="false" ht="15" hidden="false" customHeight="false" outlineLevel="0" collapsed="false">
      <c r="A45" s="31" t="n">
        <v>41</v>
      </c>
      <c r="B45" s="32" t="n">
        <f aca="false">DATE(2026,10+A45,1)</f>
        <v>47543</v>
      </c>
      <c r="C45" s="31" t="n">
        <f aca="false">INT((A45-1)/12)+1</f>
        <v>4</v>
      </c>
      <c r="D45" s="31" t="n">
        <f aca="false">IF(C45=1,Assumptions!$C$7,IF(C45=2,Assumptions!$C$8,Assumptions!$C$9))</f>
        <v>15</v>
      </c>
      <c r="E45" s="31" t="n">
        <f aca="false">D45*Assumptions!$C$10</f>
        <v>300</v>
      </c>
      <c r="F45" s="33" t="n">
        <f aca="false">E45*Assumptions!$C$11</f>
        <v>15</v>
      </c>
      <c r="G45" s="34" t="n">
        <f aca="false">MIN(1,Assumptions!$C$13+(1-Assumptions!$C$13)*(A45-1)/Assumptions!$C$14)</f>
        <v>1</v>
      </c>
      <c r="H45" s="33" t="n">
        <f aca="false">F45*Assumptions!$C$12*G45</f>
        <v>1.5</v>
      </c>
      <c r="I45" s="33" t="n">
        <f aca="false">Assumptions!$C$15*(Q44+R44+T44+U44)</f>
        <v>0.0869782349328174</v>
      </c>
      <c r="J45" s="33" t="n">
        <f aca="false">H45+I45</f>
        <v>1.58697823493282</v>
      </c>
      <c r="K45" s="33" t="n">
        <f aca="false">J45*Assumptions!$C$18</f>
        <v>0</v>
      </c>
      <c r="L45" s="33" t="n">
        <f aca="false">(J45-K45)*Assumptions!$C$17</f>
        <v>1.11088476445297</v>
      </c>
      <c r="M45" s="33" t="n">
        <f aca="false">J45-K45-L45</f>
        <v>0.476093470479845</v>
      </c>
      <c r="N45" s="33" t="n">
        <f aca="false">L45*Assumptions!$C$19</f>
        <v>0.166632714667946</v>
      </c>
      <c r="O45" s="33" t="n">
        <f aca="false">L45-N45</f>
        <v>0.944252049785026</v>
      </c>
      <c r="P45" s="33" t="n">
        <f aca="false">O33*(1-Assumptions!$C$20)^12</f>
        <v>0.731088390024086</v>
      </c>
      <c r="Q45" s="33" t="n">
        <f aca="false">Q44*(1-Assumptions!$C$20)+O45-P45</f>
        <v>10.1115732871627</v>
      </c>
      <c r="R45" s="33" t="n">
        <f aca="false">R44*(1-Assumptions!$C$22)+P45*(1-Assumptions!$C$21)</f>
        <v>6.20104460939396</v>
      </c>
      <c r="S45" s="33" t="n">
        <f aca="false">Q45+R45</f>
        <v>16.3126178965567</v>
      </c>
      <c r="T45" s="33" t="n">
        <f aca="false">T44*(1-Assumptions!$C$24)+M45*Assumptions!$C$23</f>
        <v>1.32333840387124</v>
      </c>
      <c r="U45" s="33" t="n">
        <f aca="false">U44*(1-Assumptions!$C$25)+K45</f>
        <v>0</v>
      </c>
      <c r="V45" s="33" t="n">
        <f aca="false">V44+M45</f>
        <v>15.2318220255123</v>
      </c>
      <c r="W45" s="33" t="n">
        <f aca="false">N45+Q44*Assumptions!$C$20+P45*Assumptions!$C$21+R44*Assumptions!$C$22+T44*Assumptions!$C$24+U44*Assumptions!$C$25</f>
        <v>0.965794144684487</v>
      </c>
      <c r="X45" s="33" t="n">
        <f aca="false">IF(A45&lt;Assumptions!$C$34,0,Assumptions!$C$36*MIN(1,(A45-Assumptions!$C$34+1)/Assumptions!$C$35))*(S45+T45)</f>
        <v>1.76359563004279</v>
      </c>
      <c r="Y45" s="31" t="n">
        <f aca="false">IF(Y44&gt;0,Y44,IF(AND(A45&gt;=Assumptions!$C$41,Q44+R44+T44&gt;=Assumptions!$C$40),A45,0))</f>
        <v>0</v>
      </c>
      <c r="Z45" s="33" t="n">
        <f aca="false">IF(Y45&gt;0,Assumptions!$C$42*MIN(1,(A45-Y45+1)/Assumptions!$C$43),0)*(S45+T45)</f>
        <v>0</v>
      </c>
      <c r="AA45" s="35" t="n">
        <f aca="false">(1+Assumptions!$C$32)^(C45-1)</f>
        <v>1</v>
      </c>
      <c r="AB45" s="36" t="n">
        <f aca="false">O45*Assumptions!$C$27*AA45</f>
        <v>93.4809529287176</v>
      </c>
      <c r="AC45" s="36" t="n">
        <f aca="false">(Q44+R44)*Assumptions!$C$28*AA45</f>
        <v>1592.82452904452</v>
      </c>
      <c r="AD45" s="36" t="n">
        <f aca="false">M45*Assumptions!$C$29*AA45</f>
        <v>237.570641769443</v>
      </c>
      <c r="AE45" s="36" t="n">
        <f aca="false">T44*Assumptions!$C$30*AA45</f>
        <v>103.214316034305</v>
      </c>
      <c r="AF45" s="36" t="n">
        <f aca="false">U44*Assumptions!$C$31*AA45</f>
        <v>0</v>
      </c>
      <c r="AG45" s="36" t="n">
        <f aca="false">X45*Assumptions!$C$37*Assumptions!$C$38</f>
        <v>88.1797815021397</v>
      </c>
      <c r="AH45" s="36" t="n">
        <f aca="false">Z45*Assumptions!$C$44*Assumptions!$C$45</f>
        <v>0</v>
      </c>
      <c r="AI45" s="36" t="n">
        <f aca="false">SUM(AB45:AH45)</f>
        <v>2115.27022127912</v>
      </c>
      <c r="AJ45" s="36" t="n">
        <f aca="false">(S45*Assumptions!$C$28+T45*Assumptions!$C$30+U45*Assumptions!$C$31)*AA45+AG45+AH45</f>
        <v>1807.67268716708</v>
      </c>
      <c r="AK45" s="36" t="n">
        <f aca="false">(AI45-AH45)*Assumptions!$C$49</f>
        <v>84.6108088511649</v>
      </c>
      <c r="AL45" s="36" t="n">
        <f aca="false">(AC45+AE45+AF45)*Assumptions!$C$50</f>
        <v>11.8722719155518</v>
      </c>
      <c r="AM45" s="36" t="n">
        <f aca="false">S45*Assumptions!$C$51+M45*Assumptions!$C$52</f>
        <v>27.5321744278936</v>
      </c>
      <c r="AN45" s="36" t="n">
        <f aca="false">Assumptions!$C$53+Assumptions!$C$54*(S45+T45+U45)</f>
        <v>270.543825201712</v>
      </c>
      <c r="AO45" s="36" t="n">
        <f aca="false">IF(C45&gt;=2,Assumptions!$C$55,0)</f>
        <v>100</v>
      </c>
      <c r="AP45" s="33" t="n">
        <f aca="false">E45*Assumptions!$C$60/60+F45*Assumptions!$C$61+J45*Assumptions!$C$62+(S45+T45)*Assumptions!$C$63+X45*Assumptions!$C$64+Z45*Assumptions!$C$65+U45*Assumptions!$C$66+Assumptions!$C$67*52/12</f>
        <v>89.0115740840518</v>
      </c>
      <c r="AQ45" s="33" t="n">
        <f aca="false">IF(BC44=1,Assumptions!$C$69,Assumptions!$C$68)*52/12</f>
        <v>78</v>
      </c>
      <c r="AR45" s="33" t="n">
        <f aca="false">MAX(0,AP45-AQ45)</f>
        <v>11.0115740840518</v>
      </c>
      <c r="AS45" s="36" t="n">
        <f aca="false">AR45*Assumptions!$C$70*Assumptions!$C$71</f>
        <v>143.150463092674</v>
      </c>
      <c r="AT45" s="36" t="n">
        <f aca="false">Assumptions!$C$56/12</f>
        <v>100</v>
      </c>
      <c r="AU45" s="36" t="n">
        <f aca="false">IF(A45=1,Assumptions!$C$57,0)+Assumptions!$C$58</f>
        <v>60</v>
      </c>
      <c r="AV45" s="36" t="n">
        <f aca="false">IF(AND(Y45&gt;0,Y45=A45),Assumptions!$C$46,0)+IF(Y45&gt;0,Assumptions!$C$47,0)</f>
        <v>0</v>
      </c>
      <c r="AW45" s="36" t="n">
        <f aca="false">AK45+AL45+AM45+AN45+AO45+AS45+AT45+AU45+AV45</f>
        <v>797.709543488996</v>
      </c>
      <c r="AX45" s="36" t="n">
        <f aca="false">AI45-AW45</f>
        <v>1317.56067779013</v>
      </c>
      <c r="AY45" s="36" t="n">
        <f aca="false">MAX(0,AX45)*Assumptions!$C$73</f>
        <v>395.268203337038</v>
      </c>
      <c r="AZ45" s="36" t="n">
        <f aca="false">AX45-AY45</f>
        <v>922.292474453088</v>
      </c>
      <c r="BA45" s="36" t="n">
        <f aca="false">BA44+AZ45</f>
        <v>17306.0195361907</v>
      </c>
      <c r="BB45" s="31" t="n">
        <f aca="false">IF(AZ45&gt;=Assumptions!$C$74/12,BB44+1,0)</f>
        <v>0</v>
      </c>
      <c r="BC45" s="31" t="n">
        <f aca="false">IF(OR(BC44=1,BB45&gt;=3),1,0)</f>
        <v>0</v>
      </c>
      <c r="BD45" s="31" t="n">
        <f aca="false">IF(AZ45&gt;=Assumptions!$C$75/12,BD44+1,0)</f>
        <v>0</v>
      </c>
      <c r="BE45" s="33" t="n">
        <f aca="false">AP45*12/52</f>
        <v>20.541132480935</v>
      </c>
      <c r="BF45" s="33" t="n">
        <f aca="false">AR45*12/52</f>
        <v>2.54113248093504</v>
      </c>
      <c r="BG45" s="31" t="n">
        <f aca="false">IF(AX45&gt;0,A45,999)</f>
        <v>41</v>
      </c>
      <c r="BH45" s="31" t="n">
        <f aca="false">IF(BB45&gt;=3,A45,999)</f>
        <v>999</v>
      </c>
      <c r="BI45" s="31" t="n">
        <f aca="false">IF(BD45&gt;=3,A45,999)</f>
        <v>999</v>
      </c>
    </row>
    <row r="46" customFormat="false" ht="15" hidden="false" customHeight="false" outlineLevel="0" collapsed="false">
      <c r="A46" s="31" t="n">
        <v>42</v>
      </c>
      <c r="B46" s="32" t="n">
        <f aca="false">DATE(2026,10+A46,1)</f>
        <v>47574</v>
      </c>
      <c r="C46" s="31" t="n">
        <f aca="false">INT((A46-1)/12)+1</f>
        <v>4</v>
      </c>
      <c r="D46" s="31" t="n">
        <f aca="false">IF(C46=1,Assumptions!$C$7,IF(C46=2,Assumptions!$C$8,Assumptions!$C$9))</f>
        <v>15</v>
      </c>
      <c r="E46" s="31" t="n">
        <f aca="false">D46*Assumptions!$C$10</f>
        <v>300</v>
      </c>
      <c r="F46" s="33" t="n">
        <f aca="false">E46*Assumptions!$C$11</f>
        <v>15</v>
      </c>
      <c r="G46" s="34" t="n">
        <f aca="false">MIN(1,Assumptions!$C$13+(1-Assumptions!$C$13)*(A46-1)/Assumptions!$C$14)</f>
        <v>1</v>
      </c>
      <c r="H46" s="33" t="n">
        <f aca="false">F46*Assumptions!$C$12*G46</f>
        <v>1.5</v>
      </c>
      <c r="I46" s="33" t="n">
        <f aca="false">Assumptions!$C$15*(Q45+R45+T45+U45)</f>
        <v>0.0881797815021397</v>
      </c>
      <c r="J46" s="33" t="n">
        <f aca="false">H46+I46</f>
        <v>1.58817978150214</v>
      </c>
      <c r="K46" s="33" t="n">
        <f aca="false">J46*Assumptions!$C$18</f>
        <v>0</v>
      </c>
      <c r="L46" s="33" t="n">
        <f aca="false">(J46-K46)*Assumptions!$C$17</f>
        <v>1.1117258470515</v>
      </c>
      <c r="M46" s="33" t="n">
        <f aca="false">J46-K46-L46</f>
        <v>0.476453934450642</v>
      </c>
      <c r="N46" s="33" t="n">
        <f aca="false">L46*Assumptions!$C$19</f>
        <v>0.166758877057725</v>
      </c>
      <c r="O46" s="33" t="n">
        <f aca="false">L46-N46</f>
        <v>0.944966969993773</v>
      </c>
      <c r="P46" s="33" t="n">
        <f aca="false">O34*(1-Assumptions!$C$20)^12</f>
        <v>0.73212769427013</v>
      </c>
      <c r="Q46" s="33" t="n">
        <f aca="false">Q45*(1-Assumptions!$C$20)+O46-P46</f>
        <v>10.1221810971431</v>
      </c>
      <c r="R46" s="33" t="n">
        <f aca="false">R45*(1-Assumptions!$C$22)+P46*(1-Assumptions!$C$21)</f>
        <v>6.40348176491335</v>
      </c>
      <c r="S46" s="33" t="n">
        <f aca="false">Q46+R46</f>
        <v>16.5256628620565</v>
      </c>
      <c r="T46" s="33" t="n">
        <f aca="false">T45*(1-Assumptions!$C$24)+M46*Assumptions!$C$23</f>
        <v>1.3392288865291</v>
      </c>
      <c r="U46" s="33" t="n">
        <f aca="false">U45*(1-Assumptions!$C$25)+K46</f>
        <v>0</v>
      </c>
      <c r="V46" s="33" t="n">
        <f aca="false">V45+M46</f>
        <v>15.708275959963</v>
      </c>
      <c r="W46" s="33" t="n">
        <f aca="false">N46+Q45*Assumptions!$C$20+P46*Assumptions!$C$21+R45*Assumptions!$C$22+T45*Assumptions!$C$24+U45*Assumptions!$C$25</f>
        <v>0.978081185783991</v>
      </c>
      <c r="X46" s="33" t="n">
        <f aca="false">IF(A46&lt;Assumptions!$C$34,0,Assumptions!$C$36*MIN(1,(A46-Assumptions!$C$34+1)/Assumptions!$C$35))*(S46+T46)</f>
        <v>1.78648917485856</v>
      </c>
      <c r="Y46" s="31" t="n">
        <f aca="false">IF(Y45&gt;0,Y45,IF(AND(A46&gt;=Assumptions!$C$41,Q45+R45+T45&gt;=Assumptions!$C$40),A46,0))</f>
        <v>0</v>
      </c>
      <c r="Z46" s="33" t="n">
        <f aca="false">IF(Y46&gt;0,Assumptions!$C$42*MIN(1,(A46-Y46+1)/Assumptions!$C$43),0)*(S46+T46)</f>
        <v>0</v>
      </c>
      <c r="AA46" s="35" t="n">
        <f aca="false">(1+Assumptions!$C$32)^(C46-1)</f>
        <v>1</v>
      </c>
      <c r="AB46" s="36" t="n">
        <f aca="false">O46*Assumptions!$C$27*AA46</f>
        <v>93.5517300293835</v>
      </c>
      <c r="AC46" s="36" t="n">
        <f aca="false">(Q45+R45)*Assumptions!$C$28*AA46</f>
        <v>1614.94917175911</v>
      </c>
      <c r="AD46" s="36" t="n">
        <f aca="false">M46*Assumptions!$C$29*AA46</f>
        <v>237.75051329087</v>
      </c>
      <c r="AE46" s="36" t="n">
        <f aca="false">T45*Assumptions!$C$30*AA46</f>
        <v>104.543733905828</v>
      </c>
      <c r="AF46" s="36" t="n">
        <f aca="false">U45*Assumptions!$C$31*AA46</f>
        <v>0</v>
      </c>
      <c r="AG46" s="36" t="n">
        <f aca="false">X46*Assumptions!$C$37*Assumptions!$C$38</f>
        <v>89.3244587429279</v>
      </c>
      <c r="AH46" s="36" t="n">
        <f aca="false">Z46*Assumptions!$C$44*Assumptions!$C$45</f>
        <v>0</v>
      </c>
      <c r="AI46" s="36" t="n">
        <f aca="false">SUM(AB46:AH46)</f>
        <v>2140.11960772812</v>
      </c>
      <c r="AJ46" s="36" t="n">
        <f aca="false">(S46*Assumptions!$C$28+T46*Assumptions!$C$30+U46*Assumptions!$C$31)*AA46+AG46+AH46</f>
        <v>1831.16416412232</v>
      </c>
      <c r="AK46" s="36" t="n">
        <f aca="false">(AI46-AH46)*Assumptions!$C$49</f>
        <v>85.6047843091249</v>
      </c>
      <c r="AL46" s="36" t="n">
        <f aca="false">(AC46+AE46+AF46)*Assumptions!$C$50</f>
        <v>12.0364503396546</v>
      </c>
      <c r="AM46" s="36" t="n">
        <f aca="false">S46*Assumptions!$C$51+M46*Assumptions!$C$52</f>
        <v>27.8038875943302</v>
      </c>
      <c r="AN46" s="36" t="n">
        <f aca="false">Assumptions!$C$53+Assumptions!$C$54*(S46+T46+U46)</f>
        <v>271.459566994342</v>
      </c>
      <c r="AO46" s="36" t="n">
        <f aca="false">IF(C46&gt;=2,Assumptions!$C$55,0)</f>
        <v>100</v>
      </c>
      <c r="AP46" s="33" t="n">
        <f aca="false">E46*Assumptions!$C$60/60+F46*Assumptions!$C$61+J46*Assumptions!$C$62+(S46+T46)*Assumptions!$C$63+X46*Assumptions!$C$64+Z46*Assumptions!$C$65+U46*Assumptions!$C$66+Assumptions!$C$67*52/12</f>
        <v>89.5073899372987</v>
      </c>
      <c r="AQ46" s="33" t="n">
        <f aca="false">IF(BC45=1,Assumptions!$C$69,Assumptions!$C$68)*52/12</f>
        <v>78</v>
      </c>
      <c r="AR46" s="33" t="n">
        <f aca="false">MAX(0,AP46-AQ46)</f>
        <v>11.5073899372987</v>
      </c>
      <c r="AS46" s="36" t="n">
        <f aca="false">AR46*Assumptions!$C$70*Assumptions!$C$71</f>
        <v>149.596069184884</v>
      </c>
      <c r="AT46" s="36" t="n">
        <f aca="false">Assumptions!$C$56/12</f>
        <v>100</v>
      </c>
      <c r="AU46" s="36" t="n">
        <f aca="false">IF(A46=1,Assumptions!$C$57,0)+Assumptions!$C$58</f>
        <v>60</v>
      </c>
      <c r="AV46" s="36" t="n">
        <f aca="false">IF(AND(Y46&gt;0,Y46=A46),Assumptions!$C$46,0)+IF(Y46&gt;0,Assumptions!$C$47,0)</f>
        <v>0</v>
      </c>
      <c r="AW46" s="36" t="n">
        <f aca="false">AK46+AL46+AM46+AN46+AO46+AS46+AT46+AU46+AV46</f>
        <v>806.500758422336</v>
      </c>
      <c r="AX46" s="36" t="n">
        <f aca="false">AI46-AW46</f>
        <v>1333.61884930579</v>
      </c>
      <c r="AY46" s="36" t="n">
        <f aca="false">MAX(0,AX46)*Assumptions!$C$73</f>
        <v>400.085654791736</v>
      </c>
      <c r="AZ46" s="36" t="n">
        <f aca="false">AX46-AY46</f>
        <v>933.533194514051</v>
      </c>
      <c r="BA46" s="36" t="n">
        <f aca="false">BA45+AZ46</f>
        <v>18239.5527307048</v>
      </c>
      <c r="BB46" s="31" t="n">
        <f aca="false">IF(AZ46&gt;=Assumptions!$C$74/12,BB45+1,0)</f>
        <v>0</v>
      </c>
      <c r="BC46" s="31" t="n">
        <f aca="false">IF(OR(BC45=1,BB46&gt;=3),1,0)</f>
        <v>0</v>
      </c>
      <c r="BD46" s="31" t="n">
        <f aca="false">IF(AZ46&gt;=Assumptions!$C$75/12,BD45+1,0)</f>
        <v>0</v>
      </c>
      <c r="BE46" s="33" t="n">
        <f aca="false">AP46*12/52</f>
        <v>20.655551523992</v>
      </c>
      <c r="BF46" s="33" t="n">
        <f aca="false">AR46*12/52</f>
        <v>2.65555152399202</v>
      </c>
      <c r="BG46" s="31" t="n">
        <f aca="false">IF(AX46&gt;0,A46,999)</f>
        <v>42</v>
      </c>
      <c r="BH46" s="31" t="n">
        <f aca="false">IF(BB46&gt;=3,A46,999)</f>
        <v>999</v>
      </c>
      <c r="BI46" s="31" t="n">
        <f aca="false">IF(BD46&gt;=3,A46,999)</f>
        <v>999</v>
      </c>
    </row>
    <row r="47" customFormat="false" ht="15" hidden="false" customHeight="false" outlineLevel="0" collapsed="false">
      <c r="A47" s="31" t="n">
        <v>43</v>
      </c>
      <c r="B47" s="32" t="n">
        <f aca="false">DATE(2026,10+A47,1)</f>
        <v>47604</v>
      </c>
      <c r="C47" s="31" t="n">
        <f aca="false">INT((A47-1)/12)+1</f>
        <v>4</v>
      </c>
      <c r="D47" s="31" t="n">
        <f aca="false">IF(C47=1,Assumptions!$C$7,IF(C47=2,Assumptions!$C$8,Assumptions!$C$9))</f>
        <v>15</v>
      </c>
      <c r="E47" s="31" t="n">
        <f aca="false">D47*Assumptions!$C$10</f>
        <v>300</v>
      </c>
      <c r="F47" s="33" t="n">
        <f aca="false">E47*Assumptions!$C$11</f>
        <v>15</v>
      </c>
      <c r="G47" s="34" t="n">
        <f aca="false">MIN(1,Assumptions!$C$13+(1-Assumptions!$C$13)*(A47-1)/Assumptions!$C$14)</f>
        <v>1</v>
      </c>
      <c r="H47" s="33" t="n">
        <f aca="false">F47*Assumptions!$C$12*G47</f>
        <v>1.5</v>
      </c>
      <c r="I47" s="33" t="n">
        <f aca="false">Assumptions!$C$15*(Q46+R46+T46+U46)</f>
        <v>0.0893244587429279</v>
      </c>
      <c r="J47" s="33" t="n">
        <f aca="false">H47+I47</f>
        <v>1.58932445874293</v>
      </c>
      <c r="K47" s="33" t="n">
        <f aca="false">J47*Assumptions!$C$18</f>
        <v>0</v>
      </c>
      <c r="L47" s="33" t="n">
        <f aca="false">(J47-K47)*Assumptions!$C$17</f>
        <v>1.11252712112005</v>
      </c>
      <c r="M47" s="33" t="n">
        <f aca="false">J47-K47-L47</f>
        <v>0.476797337622878</v>
      </c>
      <c r="N47" s="33" t="n">
        <f aca="false">L47*Assumptions!$C$19</f>
        <v>0.166879068168007</v>
      </c>
      <c r="O47" s="33" t="n">
        <f aca="false">L47-N47</f>
        <v>0.945648052952042</v>
      </c>
      <c r="P47" s="33" t="n">
        <f aca="false">O35*(1-Assumptions!$C$20)^12</f>
        <v>0.733129351411997</v>
      </c>
      <c r="Q47" s="33" t="n">
        <f aca="false">Q46*(1-Assumptions!$C$20)+O47-P47</f>
        <v>10.1322561767403</v>
      </c>
      <c r="R47" s="33" t="n">
        <f aca="false">R46*(1-Assumptions!$C$22)+P47*(1-Assumptions!$C$21)</f>
        <v>6.59649822265608</v>
      </c>
      <c r="S47" s="33" t="n">
        <f aca="false">Q47+R47</f>
        <v>16.7287543993964</v>
      </c>
      <c r="T47" s="33" t="n">
        <f aca="false">T46*(1-Assumptions!$C$24)+M47*Assumptions!$C$23</f>
        <v>1.35423462086193</v>
      </c>
      <c r="U47" s="33" t="n">
        <f aca="false">U46*(1-Assumptions!$C$25)+K47</f>
        <v>0</v>
      </c>
      <c r="V47" s="33" t="n">
        <f aca="false">V46+M47</f>
        <v>16.1850732975858</v>
      </c>
      <c r="W47" s="33" t="n">
        <f aca="false">N47+Q46*Assumptions!$C$20+P47*Assumptions!$C$21+R46*Assumptions!$C$22+T46*Assumptions!$C$24+U46*Assumptions!$C$25</f>
        <v>0.989789316971882</v>
      </c>
      <c r="X47" s="33" t="n">
        <f aca="false">IF(A47&lt;Assumptions!$C$34,0,Assumptions!$C$36*MIN(1,(A47-Assumptions!$C$34+1)/Assumptions!$C$35))*(S47+T47)</f>
        <v>1.80829890202583</v>
      </c>
      <c r="Y47" s="31" t="n">
        <f aca="false">IF(Y46&gt;0,Y46,IF(AND(A47&gt;=Assumptions!$C$41,Q46+R46+T46&gt;=Assumptions!$C$40),A47,0))</f>
        <v>0</v>
      </c>
      <c r="Z47" s="33" t="n">
        <f aca="false">IF(Y47&gt;0,Assumptions!$C$42*MIN(1,(A47-Y47+1)/Assumptions!$C$43),0)*(S47+T47)</f>
        <v>0</v>
      </c>
      <c r="AA47" s="35" t="n">
        <f aca="false">(1+Assumptions!$C$32)^(C47-1)</f>
        <v>1</v>
      </c>
      <c r="AB47" s="36" t="n">
        <f aca="false">O47*Assumptions!$C$27*AA47</f>
        <v>93.6191572422521</v>
      </c>
      <c r="AC47" s="36" t="n">
        <f aca="false">(Q46+R46)*Assumptions!$C$28*AA47</f>
        <v>1636.04062334359</v>
      </c>
      <c r="AD47" s="36" t="n">
        <f aca="false">M47*Assumptions!$C$29*AA47</f>
        <v>237.921871473816</v>
      </c>
      <c r="AE47" s="36" t="n">
        <f aca="false">T46*Assumptions!$C$30*AA47</f>
        <v>105.799082035799</v>
      </c>
      <c r="AF47" s="36" t="n">
        <f aca="false">U46*Assumptions!$C$31*AA47</f>
        <v>0</v>
      </c>
      <c r="AG47" s="36" t="n">
        <f aca="false">X47*Assumptions!$C$37*Assumptions!$C$38</f>
        <v>90.4149451012916</v>
      </c>
      <c r="AH47" s="36" t="n">
        <f aca="false">Z47*Assumptions!$C$44*Assumptions!$C$45</f>
        <v>0</v>
      </c>
      <c r="AI47" s="36" t="n">
        <f aca="false">SUM(AB47:AH47)</f>
        <v>2163.79567919675</v>
      </c>
      <c r="AJ47" s="36" t="n">
        <f aca="false">(S47*Assumptions!$C$28+T47*Assumptions!$C$30+U47*Assumptions!$C$31)*AA47+AG47+AH47</f>
        <v>1853.54616568963</v>
      </c>
      <c r="AK47" s="36" t="n">
        <f aca="false">(AI47-AH47)*Assumptions!$C$49</f>
        <v>86.55182716787</v>
      </c>
      <c r="AL47" s="36" t="n">
        <f aca="false">(AC47+AE47+AF47)*Assumptions!$C$50</f>
        <v>12.1928779376557</v>
      </c>
      <c r="AM47" s="36" t="n">
        <f aca="false">S47*Assumptions!$C$51+M47*Assumptions!$C$52</f>
        <v>28.0629030635887</v>
      </c>
      <c r="AN47" s="36" t="n">
        <f aca="false">Assumptions!$C$53+Assumptions!$C$54*(S47+T47+U47)</f>
        <v>272.331956081033</v>
      </c>
      <c r="AO47" s="36" t="n">
        <f aca="false">IF(C47&gt;=2,Assumptions!$C$55,0)</f>
        <v>100</v>
      </c>
      <c r="AP47" s="33" t="n">
        <f aca="false">E47*Assumptions!$C$60/60+F47*Assumptions!$C$61+J47*Assumptions!$C$62+(S47+T47)*Assumptions!$C$63+X47*Assumptions!$C$64+Z47*Assumptions!$C$65+U47*Assumptions!$C$66+Assumptions!$C$67*52/12</f>
        <v>89.9797331031175</v>
      </c>
      <c r="AQ47" s="33" t="n">
        <f aca="false">IF(BC46=1,Assumptions!$C$69,Assumptions!$C$68)*52/12</f>
        <v>78</v>
      </c>
      <c r="AR47" s="33" t="n">
        <f aca="false">MAX(0,AP47-AQ47)</f>
        <v>11.9797331031175</v>
      </c>
      <c r="AS47" s="36" t="n">
        <f aca="false">AR47*Assumptions!$C$70*Assumptions!$C$71</f>
        <v>155.736530340528</v>
      </c>
      <c r="AT47" s="36" t="n">
        <f aca="false">Assumptions!$C$56/12</f>
        <v>100</v>
      </c>
      <c r="AU47" s="36" t="n">
        <f aca="false">IF(A47=1,Assumptions!$C$57,0)+Assumptions!$C$58</f>
        <v>60</v>
      </c>
      <c r="AV47" s="36" t="n">
        <f aca="false">IF(AND(Y47&gt;0,Y47=A47),Assumptions!$C$46,0)+IF(Y47&gt;0,Assumptions!$C$47,0)</f>
        <v>0</v>
      </c>
      <c r="AW47" s="36" t="n">
        <f aca="false">AK47+AL47+AM47+AN47+AO47+AS47+AT47+AU47+AV47</f>
        <v>814.876094590675</v>
      </c>
      <c r="AX47" s="36" t="n">
        <f aca="false">AI47-AW47</f>
        <v>1348.91958460607</v>
      </c>
      <c r="AY47" s="36" t="n">
        <f aca="false">MAX(0,AX47)*Assumptions!$C$73</f>
        <v>404.675875381822</v>
      </c>
      <c r="AZ47" s="36" t="n">
        <f aca="false">AX47-AY47</f>
        <v>944.243709224252</v>
      </c>
      <c r="BA47" s="36" t="n">
        <f aca="false">BA46+AZ47</f>
        <v>19183.796439929</v>
      </c>
      <c r="BB47" s="31" t="n">
        <f aca="false">IF(AZ47&gt;=Assumptions!$C$74/12,BB46+1,0)</f>
        <v>0</v>
      </c>
      <c r="BC47" s="31" t="n">
        <f aca="false">IF(OR(BC46=1,BB47&gt;=3),1,0)</f>
        <v>0</v>
      </c>
      <c r="BD47" s="31" t="n">
        <f aca="false">IF(AZ47&gt;=Assumptions!$C$75/12,BD46+1,0)</f>
        <v>0</v>
      </c>
      <c r="BE47" s="33" t="n">
        <f aca="false">AP47*12/52</f>
        <v>20.7645537930271</v>
      </c>
      <c r="BF47" s="33" t="n">
        <f aca="false">AR47*12/52</f>
        <v>2.76455379302712</v>
      </c>
      <c r="BG47" s="31" t="n">
        <f aca="false">IF(AX47&gt;0,A47,999)</f>
        <v>43</v>
      </c>
      <c r="BH47" s="31" t="n">
        <f aca="false">IF(BB47&gt;=3,A47,999)</f>
        <v>999</v>
      </c>
      <c r="BI47" s="31" t="n">
        <f aca="false">IF(BD47&gt;=3,A47,999)</f>
        <v>999</v>
      </c>
    </row>
    <row r="48" customFormat="false" ht="15" hidden="false" customHeight="false" outlineLevel="0" collapsed="false">
      <c r="A48" s="31" t="n">
        <v>44</v>
      </c>
      <c r="B48" s="32" t="n">
        <f aca="false">DATE(2026,10+A48,1)</f>
        <v>47635</v>
      </c>
      <c r="C48" s="31" t="n">
        <f aca="false">INT((A48-1)/12)+1</f>
        <v>4</v>
      </c>
      <c r="D48" s="31" t="n">
        <f aca="false">IF(C48=1,Assumptions!$C$7,IF(C48=2,Assumptions!$C$8,Assumptions!$C$9))</f>
        <v>15</v>
      </c>
      <c r="E48" s="31" t="n">
        <f aca="false">D48*Assumptions!$C$10</f>
        <v>300</v>
      </c>
      <c r="F48" s="33" t="n">
        <f aca="false">E48*Assumptions!$C$11</f>
        <v>15</v>
      </c>
      <c r="G48" s="34" t="n">
        <f aca="false">MIN(1,Assumptions!$C$13+(1-Assumptions!$C$13)*(A48-1)/Assumptions!$C$14)</f>
        <v>1</v>
      </c>
      <c r="H48" s="33" t="n">
        <f aca="false">F48*Assumptions!$C$12*G48</f>
        <v>1.5</v>
      </c>
      <c r="I48" s="33" t="n">
        <f aca="false">Assumptions!$C$15*(Q47+R47+T47+U47)</f>
        <v>0.0904149451012916</v>
      </c>
      <c r="J48" s="33" t="n">
        <f aca="false">H48+I48</f>
        <v>1.59041494510129</v>
      </c>
      <c r="K48" s="33" t="n">
        <f aca="false">J48*Assumptions!$C$18</f>
        <v>0</v>
      </c>
      <c r="L48" s="33" t="n">
        <f aca="false">(J48-K48)*Assumptions!$C$17</f>
        <v>1.1132904615709</v>
      </c>
      <c r="M48" s="33" t="n">
        <f aca="false">J48-K48-L48</f>
        <v>0.477124483530388</v>
      </c>
      <c r="N48" s="33" t="n">
        <f aca="false">L48*Assumptions!$C$19</f>
        <v>0.166993569235636</v>
      </c>
      <c r="O48" s="33" t="n">
        <f aca="false">L48-N48</f>
        <v>0.946296892335269</v>
      </c>
      <c r="P48" s="33" t="n">
        <f aca="false">O36*(1-Assumptions!$C$20)^12</f>
        <v>0.734094962841643</v>
      </c>
      <c r="Q48" s="33" t="n">
        <f aca="false">Q47*(1-Assumptions!$C$20)+O48-P48</f>
        <v>10.1418129826991</v>
      </c>
      <c r="R48" s="33" t="n">
        <f aca="false">R47*(1-Assumptions!$C$22)+P48*(1-Assumptions!$C$21)</f>
        <v>6.78053978551242</v>
      </c>
      <c r="S48" s="33" t="n">
        <f aca="false">Q48+R48</f>
        <v>16.9223527682116</v>
      </c>
      <c r="T48" s="33" t="n">
        <f aca="false">T47*(1-Assumptions!$C$24)+M48*Assumptions!$C$23</f>
        <v>1.36840544031629</v>
      </c>
      <c r="U48" s="33" t="n">
        <f aca="false">U47*(1-Assumptions!$C$25)+K48</f>
        <v>0</v>
      </c>
      <c r="V48" s="33" t="n">
        <f aca="false">V47+M48</f>
        <v>16.6621977811162</v>
      </c>
      <c r="W48" s="33" t="n">
        <f aca="false">N48+Q47*Assumptions!$C$20+P48*Assumptions!$C$21+R47*Assumptions!$C$22+T47*Assumptions!$C$24+U47*Assumptions!$C$25</f>
        <v>1.00094617000745</v>
      </c>
      <c r="X48" s="33" t="n">
        <f aca="false">IF(A48&lt;Assumptions!$C$34,0,Assumptions!$C$36*MIN(1,(A48-Assumptions!$C$34+1)/Assumptions!$C$35))*(S48+T48)</f>
        <v>1.82907582085278</v>
      </c>
      <c r="Y48" s="31" t="n">
        <f aca="false">IF(Y47&gt;0,Y47,IF(AND(A48&gt;=Assumptions!$C$41,Q47+R47+T47&gt;=Assumptions!$C$40),A48,0))</f>
        <v>0</v>
      </c>
      <c r="Z48" s="33" t="n">
        <f aca="false">IF(Y48&gt;0,Assumptions!$C$42*MIN(1,(A48-Y48+1)/Assumptions!$C$43),0)*(S48+T48)</f>
        <v>0</v>
      </c>
      <c r="AA48" s="35" t="n">
        <f aca="false">(1+Assumptions!$C$32)^(C48-1)</f>
        <v>1</v>
      </c>
      <c r="AB48" s="36" t="n">
        <f aca="false">O48*Assumptions!$C$27*AA48</f>
        <v>93.6833923411916</v>
      </c>
      <c r="AC48" s="36" t="n">
        <f aca="false">(Q47+R47)*Assumptions!$C$28*AA48</f>
        <v>1656.14668554024</v>
      </c>
      <c r="AD48" s="36" t="n">
        <f aca="false">M48*Assumptions!$C$29*AA48</f>
        <v>238.085117281663</v>
      </c>
      <c r="AE48" s="36" t="n">
        <f aca="false">T47*Assumptions!$C$30*AA48</f>
        <v>106.984535048092</v>
      </c>
      <c r="AF48" s="36" t="n">
        <f aca="false">U47*Assumptions!$C$31*AA48</f>
        <v>0</v>
      </c>
      <c r="AG48" s="36" t="n">
        <f aca="false">X48*Assumptions!$C$37*Assumptions!$C$38</f>
        <v>91.4537910426392</v>
      </c>
      <c r="AH48" s="36" t="n">
        <f aca="false">Z48*Assumptions!$C$44*Assumptions!$C$45</f>
        <v>0</v>
      </c>
      <c r="AI48" s="36" t="n">
        <f aca="false">SUM(AB48:AH48)</f>
        <v>2186.35352125383</v>
      </c>
      <c r="AJ48" s="36" t="n">
        <f aca="false">(S48*Assumptions!$C$28+T48*Assumptions!$C$30+U48*Assumptions!$C$31)*AA48+AG48+AH48</f>
        <v>1874.87074488057</v>
      </c>
      <c r="AK48" s="36" t="n">
        <f aca="false">(AI48-AH48)*Assumptions!$C$49</f>
        <v>87.4541408501532</v>
      </c>
      <c r="AL48" s="36" t="n">
        <f aca="false">(AC48+AE48+AF48)*Assumptions!$C$50</f>
        <v>12.3419185441183</v>
      </c>
      <c r="AM48" s="36" t="n">
        <f aca="false">S48*Assumptions!$C$51+M48*Assumptions!$C$52</f>
        <v>28.3098082132203</v>
      </c>
      <c r="AN48" s="36" t="n">
        <f aca="false">Assumptions!$C$53+Assumptions!$C$54*(S48+T48+U48)</f>
        <v>273.163032834111</v>
      </c>
      <c r="AO48" s="36" t="n">
        <f aca="false">IF(C48&gt;=2,Assumptions!$C$55,0)</f>
        <v>100</v>
      </c>
      <c r="AP48" s="33" t="n">
        <f aca="false">E48*Assumptions!$C$60/60+F48*Assumptions!$C$61+J48*Assumptions!$C$62+(S48+T48)*Assumptions!$C$63+X48*Assumptions!$C$64+Z48*Assumptions!$C$65+U48*Assumptions!$C$66+Assumptions!$C$67*52/12</f>
        <v>90.4297083169721</v>
      </c>
      <c r="AQ48" s="33" t="n">
        <f aca="false">IF(BC47=1,Assumptions!$C$69,Assumptions!$C$68)*52/12</f>
        <v>78</v>
      </c>
      <c r="AR48" s="33" t="n">
        <f aca="false">MAX(0,AP48-AQ48)</f>
        <v>12.4297083169721</v>
      </c>
      <c r="AS48" s="36" t="n">
        <f aca="false">AR48*Assumptions!$C$70*Assumptions!$C$71</f>
        <v>161.586208120637</v>
      </c>
      <c r="AT48" s="36" t="n">
        <f aca="false">Assumptions!$C$56/12</f>
        <v>100</v>
      </c>
      <c r="AU48" s="36" t="n">
        <f aca="false">IF(A48=1,Assumptions!$C$57,0)+Assumptions!$C$58</f>
        <v>60</v>
      </c>
      <c r="AV48" s="36" t="n">
        <f aca="false">IF(AND(Y48&gt;0,Y48=A48),Assumptions!$C$46,0)+IF(Y48&gt;0,Assumptions!$C$47,0)</f>
        <v>0</v>
      </c>
      <c r="AW48" s="36" t="n">
        <f aca="false">AK48+AL48+AM48+AN48+AO48+AS48+AT48+AU48+AV48</f>
        <v>822.85510856224</v>
      </c>
      <c r="AX48" s="36" t="n">
        <f aca="false">AI48-AW48</f>
        <v>1363.49841269159</v>
      </c>
      <c r="AY48" s="36" t="n">
        <f aca="false">MAX(0,AX48)*Assumptions!$C$73</f>
        <v>409.049523807477</v>
      </c>
      <c r="AZ48" s="36" t="n">
        <f aca="false">AX48-AY48</f>
        <v>954.448888884112</v>
      </c>
      <c r="BA48" s="36" t="n">
        <f aca="false">BA47+AZ48</f>
        <v>20138.2453288131</v>
      </c>
      <c r="BB48" s="31" t="n">
        <f aca="false">IF(AZ48&gt;=Assumptions!$C$74/12,BB47+1,0)</f>
        <v>0</v>
      </c>
      <c r="BC48" s="31" t="n">
        <f aca="false">IF(OR(BC47=1,BB48&gt;=3),1,0)</f>
        <v>0</v>
      </c>
      <c r="BD48" s="31" t="n">
        <f aca="false">IF(AZ48&gt;=Assumptions!$C$75/12,BD47+1,0)</f>
        <v>0</v>
      </c>
      <c r="BE48" s="33" t="n">
        <f aca="false">AP48*12/52</f>
        <v>20.8683942269936</v>
      </c>
      <c r="BF48" s="33" t="n">
        <f aca="false">AR48*12/52</f>
        <v>2.86839422699356</v>
      </c>
      <c r="BG48" s="31" t="n">
        <f aca="false">IF(AX48&gt;0,A48,999)</f>
        <v>44</v>
      </c>
      <c r="BH48" s="31" t="n">
        <f aca="false">IF(BB48&gt;=3,A48,999)</f>
        <v>999</v>
      </c>
      <c r="BI48" s="31" t="n">
        <f aca="false">IF(BD48&gt;=3,A48,999)</f>
        <v>999</v>
      </c>
    </row>
    <row r="49" customFormat="false" ht="15" hidden="false" customHeight="false" outlineLevel="0" collapsed="false">
      <c r="A49" s="31" t="n">
        <v>45</v>
      </c>
      <c r="B49" s="32" t="n">
        <f aca="false">DATE(2026,10+A49,1)</f>
        <v>47665</v>
      </c>
      <c r="C49" s="31" t="n">
        <f aca="false">INT((A49-1)/12)+1</f>
        <v>4</v>
      </c>
      <c r="D49" s="31" t="n">
        <f aca="false">IF(C49=1,Assumptions!$C$7,IF(C49=2,Assumptions!$C$8,Assumptions!$C$9))</f>
        <v>15</v>
      </c>
      <c r="E49" s="31" t="n">
        <f aca="false">D49*Assumptions!$C$10</f>
        <v>300</v>
      </c>
      <c r="F49" s="33" t="n">
        <f aca="false">E49*Assumptions!$C$11</f>
        <v>15</v>
      </c>
      <c r="G49" s="34" t="n">
        <f aca="false">MIN(1,Assumptions!$C$13+(1-Assumptions!$C$13)*(A49-1)/Assumptions!$C$14)</f>
        <v>1</v>
      </c>
      <c r="H49" s="33" t="n">
        <f aca="false">F49*Assumptions!$C$12*G49</f>
        <v>1.5</v>
      </c>
      <c r="I49" s="33" t="n">
        <f aca="false">Assumptions!$C$15*(Q48+R48+T48+U48)</f>
        <v>0.0914537910426393</v>
      </c>
      <c r="J49" s="33" t="n">
        <f aca="false">H49+I49</f>
        <v>1.59145379104264</v>
      </c>
      <c r="K49" s="33" t="n">
        <f aca="false">J49*Assumptions!$C$18</f>
        <v>0</v>
      </c>
      <c r="L49" s="33" t="n">
        <f aca="false">(J49-K49)*Assumptions!$C$17</f>
        <v>1.11401765372985</v>
      </c>
      <c r="M49" s="33" t="n">
        <f aca="false">J49-K49-L49</f>
        <v>0.477436137312792</v>
      </c>
      <c r="N49" s="33" t="n">
        <f aca="false">L49*Assumptions!$C$19</f>
        <v>0.167102648059477</v>
      </c>
      <c r="O49" s="33" t="n">
        <f aca="false">L49-N49</f>
        <v>0.94691500567037</v>
      </c>
      <c r="P49" s="33" t="n">
        <f aca="false">O37*(1-Assumptions!$C$20)^12</f>
        <v>0.735026058130436</v>
      </c>
      <c r="Q49" s="33" t="n">
        <f aca="false">Q48*(1-Assumptions!$C$20)+O49-P49</f>
        <v>10.1508656705851</v>
      </c>
      <c r="R49" s="33" t="n">
        <f aca="false">R48*(1-Assumptions!$C$22)+P49*(1-Assumptions!$C$21)</f>
        <v>6.95603103692811</v>
      </c>
      <c r="S49" s="33" t="n">
        <f aca="false">Q49+R49</f>
        <v>17.1068967075132</v>
      </c>
      <c r="T49" s="33" t="n">
        <f aca="false">T48*(1-Assumptions!$C$24)+M49*Assumptions!$C$23</f>
        <v>1.38178834135987</v>
      </c>
      <c r="U49" s="33" t="n">
        <f aca="false">U48*(1-Assumptions!$C$25)+K49</f>
        <v>0</v>
      </c>
      <c r="V49" s="33" t="n">
        <f aca="false">V48+M49</f>
        <v>17.139633918429</v>
      </c>
      <c r="W49" s="33" t="n">
        <f aca="false">N49+Q48*Assumptions!$C$20+P49*Assumptions!$C$21+R48*Assumptions!$C$22+T48*Assumptions!$C$24+U48*Assumptions!$C$25</f>
        <v>1.01157804084719</v>
      </c>
      <c r="X49" s="33" t="n">
        <f aca="false">IF(A49&lt;Assumptions!$C$34,0,Assumptions!$C$36*MIN(1,(A49-Assumptions!$C$34+1)/Assumptions!$C$35))*(S49+T49)</f>
        <v>1.84886850488731</v>
      </c>
      <c r="Y49" s="31" t="n">
        <f aca="false">IF(Y48&gt;0,Y48,IF(AND(A49&gt;=Assumptions!$C$41,Q48+R48+T48&gt;=Assumptions!$C$40),A49,0))</f>
        <v>0</v>
      </c>
      <c r="Z49" s="33" t="n">
        <f aca="false">IF(Y49&gt;0,Assumptions!$C$42*MIN(1,(A49-Y49+1)/Assumptions!$C$43),0)*(S49+T49)</f>
        <v>0</v>
      </c>
      <c r="AA49" s="35" t="n">
        <f aca="false">(1+Assumptions!$C$32)^(C49-1)</f>
        <v>1</v>
      </c>
      <c r="AB49" s="36" t="n">
        <f aca="false">O49*Assumptions!$C$27*AA49</f>
        <v>93.7445855613667</v>
      </c>
      <c r="AC49" s="36" t="n">
        <f aca="false">(Q48+R48)*Assumptions!$C$28*AA49</f>
        <v>1675.31292405294</v>
      </c>
      <c r="AD49" s="36" t="n">
        <f aca="false">M49*Assumptions!$C$29*AA49</f>
        <v>238.240632519083</v>
      </c>
      <c r="AE49" s="36" t="n">
        <f aca="false">T48*Assumptions!$C$30*AA49</f>
        <v>108.104029784987</v>
      </c>
      <c r="AF49" s="36" t="n">
        <f aca="false">U48*Assumptions!$C$31*AA49</f>
        <v>0</v>
      </c>
      <c r="AG49" s="36" t="n">
        <f aca="false">X49*Assumptions!$C$37*Assumptions!$C$38</f>
        <v>92.4434252443653</v>
      </c>
      <c r="AH49" s="36" t="n">
        <f aca="false">Z49*Assumptions!$C$44*Assumptions!$C$45</f>
        <v>0</v>
      </c>
      <c r="AI49" s="36" t="n">
        <f aca="false">SUM(AB49:AH49)</f>
        <v>2207.84559716275</v>
      </c>
      <c r="AJ49" s="36" t="n">
        <f aca="false">(S49*Assumptions!$C$28+T49*Assumptions!$C$30+U49*Assumptions!$C$31)*AA49+AG49+AH49</f>
        <v>1895.1874782556</v>
      </c>
      <c r="AK49" s="36" t="n">
        <f aca="false">(AI49-AH49)*Assumptions!$C$49</f>
        <v>88.3138238865098</v>
      </c>
      <c r="AL49" s="36" t="n">
        <f aca="false">(AC49+AE49+AF49)*Assumptions!$C$50</f>
        <v>12.4839186768655</v>
      </c>
      <c r="AM49" s="36" t="n">
        <f aca="false">S49*Assumptions!$C$51+M49*Assumptions!$C$52</f>
        <v>28.5451629440834</v>
      </c>
      <c r="AN49" s="36" t="n">
        <f aca="false">Assumptions!$C$53+Assumptions!$C$54*(S49+T49+U49)</f>
        <v>273.954740195492</v>
      </c>
      <c r="AO49" s="36" t="n">
        <f aca="false">IF(C49&gt;=2,Assumptions!$C$55,0)</f>
        <v>100</v>
      </c>
      <c r="AP49" s="33" t="n">
        <f aca="false">E49*Assumptions!$C$60/60+F49*Assumptions!$C$61+J49*Assumptions!$C$62+(S49+T49)*Assumptions!$C$63+X49*Assumptions!$C$64+Z49*Assumptions!$C$65+U49*Assumptions!$C$66+Assumptions!$C$67*52/12</f>
        <v>90.8583675615383</v>
      </c>
      <c r="AQ49" s="33" t="n">
        <f aca="false">IF(BC48=1,Assumptions!$C$69,Assumptions!$C$68)*52/12</f>
        <v>78</v>
      </c>
      <c r="AR49" s="33" t="n">
        <f aca="false">MAX(0,AP49-AQ49)</f>
        <v>12.8583675615383</v>
      </c>
      <c r="AS49" s="36" t="n">
        <f aca="false">AR49*Assumptions!$C$70*Assumptions!$C$71</f>
        <v>167.158778299998</v>
      </c>
      <c r="AT49" s="36" t="n">
        <f aca="false">Assumptions!$C$56/12</f>
        <v>100</v>
      </c>
      <c r="AU49" s="36" t="n">
        <f aca="false">IF(A49=1,Assumptions!$C$57,0)+Assumptions!$C$58</f>
        <v>60</v>
      </c>
      <c r="AV49" s="36" t="n">
        <f aca="false">IF(AND(Y49&gt;0,Y49=A49),Assumptions!$C$46,0)+IF(Y49&gt;0,Assumptions!$C$47,0)</f>
        <v>0</v>
      </c>
      <c r="AW49" s="36" t="n">
        <f aca="false">AK49+AL49+AM49+AN49+AO49+AS49+AT49+AU49+AV49</f>
        <v>830.456424002949</v>
      </c>
      <c r="AX49" s="36" t="n">
        <f aca="false">AI49-AW49</f>
        <v>1377.3891731598</v>
      </c>
      <c r="AY49" s="36" t="n">
        <f aca="false">MAX(0,AX49)*Assumptions!$C$73</f>
        <v>413.216751947939</v>
      </c>
      <c r="AZ49" s="36" t="n">
        <f aca="false">AX49-AY49</f>
        <v>964.172421211858</v>
      </c>
      <c r="BA49" s="36" t="n">
        <f aca="false">BA48+AZ49</f>
        <v>21102.417750025</v>
      </c>
      <c r="BB49" s="31" t="n">
        <f aca="false">IF(AZ49&gt;=Assumptions!$C$74/12,BB48+1,0)</f>
        <v>0</v>
      </c>
      <c r="BC49" s="31" t="n">
        <f aca="false">IF(OR(BC48=1,BB49&gt;=3),1,0)</f>
        <v>0</v>
      </c>
      <c r="BD49" s="31" t="n">
        <f aca="false">IF(AZ49&gt;=Assumptions!$C$75/12,BD48+1,0)</f>
        <v>0</v>
      </c>
      <c r="BE49" s="33" t="n">
        <f aca="false">AP49*12/52</f>
        <v>20.9673155911242</v>
      </c>
      <c r="BF49" s="33" t="n">
        <f aca="false">AR49*12/52</f>
        <v>2.96731559112423</v>
      </c>
      <c r="BG49" s="31" t="n">
        <f aca="false">IF(AX49&gt;0,A49,999)</f>
        <v>45</v>
      </c>
      <c r="BH49" s="31" t="n">
        <f aca="false">IF(BB49&gt;=3,A49,999)</f>
        <v>999</v>
      </c>
      <c r="BI49" s="31" t="n">
        <f aca="false">IF(BD49&gt;=3,A49,999)</f>
        <v>999</v>
      </c>
    </row>
    <row r="50" customFormat="false" ht="15" hidden="false" customHeight="false" outlineLevel="0" collapsed="false">
      <c r="A50" s="31" t="n">
        <v>46</v>
      </c>
      <c r="B50" s="32" t="n">
        <f aca="false">DATE(2026,10+A50,1)</f>
        <v>47696</v>
      </c>
      <c r="C50" s="31" t="n">
        <f aca="false">INT((A50-1)/12)+1</f>
        <v>4</v>
      </c>
      <c r="D50" s="31" t="n">
        <f aca="false">IF(C50=1,Assumptions!$C$7,IF(C50=2,Assumptions!$C$8,Assumptions!$C$9))</f>
        <v>15</v>
      </c>
      <c r="E50" s="31" t="n">
        <f aca="false">D50*Assumptions!$C$10</f>
        <v>300</v>
      </c>
      <c r="F50" s="33" t="n">
        <f aca="false">E50*Assumptions!$C$11</f>
        <v>15</v>
      </c>
      <c r="G50" s="34" t="n">
        <f aca="false">MIN(1,Assumptions!$C$13+(1-Assumptions!$C$13)*(A50-1)/Assumptions!$C$14)</f>
        <v>1</v>
      </c>
      <c r="H50" s="33" t="n">
        <f aca="false">F50*Assumptions!$C$12*G50</f>
        <v>1.5</v>
      </c>
      <c r="I50" s="33" t="n">
        <f aca="false">Assumptions!$C$15*(Q49+R49+T49+U49)</f>
        <v>0.0924434252443653</v>
      </c>
      <c r="J50" s="33" t="n">
        <f aca="false">H50+I50</f>
        <v>1.59244342524437</v>
      </c>
      <c r="K50" s="33" t="n">
        <f aca="false">J50*Assumptions!$C$18</f>
        <v>0</v>
      </c>
      <c r="L50" s="33" t="n">
        <f aca="false">(J50-K50)*Assumptions!$C$17</f>
        <v>1.11471039767106</v>
      </c>
      <c r="M50" s="33" t="n">
        <f aca="false">J50-K50-L50</f>
        <v>0.47773302757331</v>
      </c>
      <c r="N50" s="33" t="n">
        <f aca="false">L50*Assumptions!$C$19</f>
        <v>0.167206559650658</v>
      </c>
      <c r="O50" s="33" t="n">
        <f aca="false">L50-N50</f>
        <v>0.947503838020397</v>
      </c>
      <c r="P50" s="33" t="n">
        <f aca="false">O38*(1-Assumptions!$C$20)^12</f>
        <v>0.735924098525129</v>
      </c>
      <c r="Q50" s="33" t="n">
        <f aca="false">Q49*(1-Assumptions!$C$20)+O50-P50</f>
        <v>10.1594280966687</v>
      </c>
      <c r="R50" s="33" t="n">
        <f aca="false">R49*(1-Assumptions!$C$22)+P50*(1-Assumptions!$C$21)</f>
        <v>7.12337635404929</v>
      </c>
      <c r="S50" s="33" t="n">
        <f aca="false">Q50+R50</f>
        <v>17.2828044507179</v>
      </c>
      <c r="T50" s="33" t="n">
        <f aca="false">T49*(1-Assumptions!$C$24)+M50*Assumptions!$C$23</f>
        <v>1.39442764639294</v>
      </c>
      <c r="U50" s="33" t="n">
        <f aca="false">U49*(1-Assumptions!$C$25)+K50</f>
        <v>0</v>
      </c>
      <c r="V50" s="33" t="n">
        <f aca="false">V49+M50</f>
        <v>17.6173669460023</v>
      </c>
      <c r="W50" s="33" t="n">
        <f aca="false">N50+Q49*Assumptions!$C$20+P50*Assumptions!$C$21+R49*Assumptions!$C$22+T49*Assumptions!$C$24+U49*Assumptions!$C$25</f>
        <v>1.0217099549479</v>
      </c>
      <c r="X50" s="33" t="n">
        <f aca="false">IF(A50&lt;Assumptions!$C$34,0,Assumptions!$C$36*MIN(1,(A50-Assumptions!$C$34+1)/Assumptions!$C$35))*(S50+T50)</f>
        <v>1.86772320971109</v>
      </c>
      <c r="Y50" s="31" t="n">
        <f aca="false">IF(Y49&gt;0,Y49,IF(AND(A50&gt;=Assumptions!$C$41,Q49+R49+T49&gt;=Assumptions!$C$40),A50,0))</f>
        <v>0</v>
      </c>
      <c r="Z50" s="33" t="n">
        <f aca="false">IF(Y50&gt;0,Assumptions!$C$42*MIN(1,(A50-Y50+1)/Assumptions!$C$43),0)*(S50+T50)</f>
        <v>0</v>
      </c>
      <c r="AA50" s="35" t="n">
        <f aca="false">(1+Assumptions!$C$32)^(C50-1)</f>
        <v>1</v>
      </c>
      <c r="AB50" s="36" t="n">
        <f aca="false">O50*Assumptions!$C$27*AA50</f>
        <v>93.8028799640193</v>
      </c>
      <c r="AC50" s="36" t="n">
        <f aca="false">(Q49+R49)*Assumptions!$C$28*AA50</f>
        <v>1693.58277404381</v>
      </c>
      <c r="AD50" s="36" t="n">
        <f aca="false">M50*Assumptions!$C$29*AA50</f>
        <v>238.388780759082</v>
      </c>
      <c r="AE50" s="36" t="n">
        <f aca="false">T49*Assumptions!$C$30*AA50</f>
        <v>109.16127896743</v>
      </c>
      <c r="AF50" s="36" t="n">
        <f aca="false">U49*Assumptions!$C$31*AA50</f>
        <v>0</v>
      </c>
      <c r="AG50" s="36" t="n">
        <f aca="false">X50*Assumptions!$C$37*Assumptions!$C$38</f>
        <v>93.3861604855544</v>
      </c>
      <c r="AH50" s="36" t="n">
        <f aca="false">Z50*Assumptions!$C$44*Assumptions!$C$45</f>
        <v>0</v>
      </c>
      <c r="AI50" s="36" t="n">
        <f aca="false">SUM(AB50:AH50)</f>
        <v>2228.32187421989</v>
      </c>
      <c r="AJ50" s="36" t="n">
        <f aca="false">(S50*Assumptions!$C$28+T50*Assumptions!$C$30+U50*Assumptions!$C$31)*AA50+AG50+AH50</f>
        <v>1914.54358517167</v>
      </c>
      <c r="AK50" s="36" t="n">
        <f aca="false">(AI50-AH50)*Assumptions!$C$49</f>
        <v>89.1328749687957</v>
      </c>
      <c r="AL50" s="36" t="n">
        <f aca="false">(AC50+AE50+AF50)*Assumptions!$C$50</f>
        <v>12.6192083710787</v>
      </c>
      <c r="AM50" s="36" t="n">
        <f aca="false">S50*Assumptions!$C$51+M50*Assumptions!$C$52</f>
        <v>28.7695009769971</v>
      </c>
      <c r="AN50" s="36" t="n">
        <f aca="false">Assumptions!$C$53+Assumptions!$C$54*(S50+T50+U50)</f>
        <v>274.708928388444</v>
      </c>
      <c r="AO50" s="36" t="n">
        <f aca="false">IF(C50&gt;=2,Assumptions!$C$55,0)</f>
        <v>100</v>
      </c>
      <c r="AP50" s="33" t="n">
        <f aca="false">E50*Assumptions!$C$60/60+F50*Assumptions!$C$61+J50*Assumptions!$C$62+(S50+T50)*Assumptions!$C$63+X50*Assumptions!$C$64+Z50*Assumptions!$C$65+U50*Assumptions!$C$66+Assumptions!$C$67*52/12</f>
        <v>91.2667126178548</v>
      </c>
      <c r="AQ50" s="33" t="n">
        <f aca="false">IF(BC49=1,Assumptions!$C$69,Assumptions!$C$68)*52/12</f>
        <v>78</v>
      </c>
      <c r="AR50" s="33" t="n">
        <f aca="false">MAX(0,AP50-AQ50)</f>
        <v>13.2667126178548</v>
      </c>
      <c r="AS50" s="36" t="n">
        <f aca="false">AR50*Assumptions!$C$70*Assumptions!$C$71</f>
        <v>172.467264032113</v>
      </c>
      <c r="AT50" s="36" t="n">
        <f aca="false">Assumptions!$C$56/12</f>
        <v>100</v>
      </c>
      <c r="AU50" s="36" t="n">
        <f aca="false">IF(A50=1,Assumptions!$C$57,0)+Assumptions!$C$58</f>
        <v>60</v>
      </c>
      <c r="AV50" s="36" t="n">
        <f aca="false">IF(AND(Y50&gt;0,Y50=A50),Assumptions!$C$46,0)+IF(Y50&gt;0,Assumptions!$C$47,0)</f>
        <v>0</v>
      </c>
      <c r="AW50" s="36" t="n">
        <f aca="false">AK50+AL50+AM50+AN50+AO50+AS50+AT50+AU50+AV50</f>
        <v>837.697776737428</v>
      </c>
      <c r="AX50" s="36" t="n">
        <f aca="false">AI50-AW50</f>
        <v>1390.62409748246</v>
      </c>
      <c r="AY50" s="36" t="n">
        <f aca="false">MAX(0,AX50)*Assumptions!$C$73</f>
        <v>417.187229244739</v>
      </c>
      <c r="AZ50" s="36" t="n">
        <f aca="false">AX50-AY50</f>
        <v>973.436868237724</v>
      </c>
      <c r="BA50" s="36" t="n">
        <f aca="false">BA49+AZ50</f>
        <v>22075.8546182627</v>
      </c>
      <c r="BB50" s="31" t="n">
        <f aca="false">IF(AZ50&gt;=Assumptions!$C$74/12,BB49+1,0)</f>
        <v>0</v>
      </c>
      <c r="BC50" s="31" t="n">
        <f aca="false">IF(OR(BC49=1,BB50&gt;=3),1,0)</f>
        <v>0</v>
      </c>
      <c r="BD50" s="31" t="n">
        <f aca="false">IF(AZ50&gt;=Assumptions!$C$75/12,BD49+1,0)</f>
        <v>0</v>
      </c>
      <c r="BE50" s="33" t="n">
        <f aca="false">AP50*12/52</f>
        <v>21.0615490656588</v>
      </c>
      <c r="BF50" s="33" t="n">
        <f aca="false">AR50*12/52</f>
        <v>3.06154906565881</v>
      </c>
      <c r="BG50" s="31" t="n">
        <f aca="false">IF(AX50&gt;0,A50,999)</f>
        <v>46</v>
      </c>
      <c r="BH50" s="31" t="n">
        <f aca="false">IF(BB50&gt;=3,A50,999)</f>
        <v>999</v>
      </c>
      <c r="BI50" s="31" t="n">
        <f aca="false">IF(BD50&gt;=3,A50,999)</f>
        <v>999</v>
      </c>
    </row>
    <row r="51" customFormat="false" ht="15" hidden="false" customHeight="false" outlineLevel="0" collapsed="false">
      <c r="A51" s="31" t="n">
        <v>47</v>
      </c>
      <c r="B51" s="32" t="n">
        <f aca="false">DATE(2026,10+A51,1)</f>
        <v>47727</v>
      </c>
      <c r="C51" s="31" t="n">
        <f aca="false">INT((A51-1)/12)+1</f>
        <v>4</v>
      </c>
      <c r="D51" s="31" t="n">
        <f aca="false">IF(C51=1,Assumptions!$C$7,IF(C51=2,Assumptions!$C$8,Assumptions!$C$9))</f>
        <v>15</v>
      </c>
      <c r="E51" s="31" t="n">
        <f aca="false">D51*Assumptions!$C$10</f>
        <v>300</v>
      </c>
      <c r="F51" s="33" t="n">
        <f aca="false">E51*Assumptions!$C$11</f>
        <v>15</v>
      </c>
      <c r="G51" s="34" t="n">
        <f aca="false">MIN(1,Assumptions!$C$13+(1-Assumptions!$C$13)*(A51-1)/Assumptions!$C$14)</f>
        <v>1</v>
      </c>
      <c r="H51" s="33" t="n">
        <f aca="false">F51*Assumptions!$C$12*G51</f>
        <v>1.5</v>
      </c>
      <c r="I51" s="33" t="n">
        <f aca="false">Assumptions!$C$15*(Q50+R50+T50+U50)</f>
        <v>0.0933861604855544</v>
      </c>
      <c r="J51" s="33" t="n">
        <f aca="false">H51+I51</f>
        <v>1.59338616048555</v>
      </c>
      <c r="K51" s="33" t="n">
        <f aca="false">J51*Assumptions!$C$18</f>
        <v>0</v>
      </c>
      <c r="L51" s="33" t="n">
        <f aca="false">(J51-K51)*Assumptions!$C$17</f>
        <v>1.11537031233989</v>
      </c>
      <c r="M51" s="33" t="n">
        <f aca="false">J51-K51-L51</f>
        <v>0.478015848145666</v>
      </c>
      <c r="N51" s="33" t="n">
        <f aca="false">L51*Assumptions!$C$19</f>
        <v>0.167305546850983</v>
      </c>
      <c r="O51" s="33" t="n">
        <f aca="false">L51-N51</f>
        <v>0.948064765488905</v>
      </c>
      <c r="P51" s="33" t="n">
        <f aca="false">O39*(1-Assumptions!$C$20)^12</f>
        <v>0.736790480264589</v>
      </c>
      <c r="Q51" s="33" t="n">
        <f aca="false">Q50*(1-Assumptions!$C$20)+O51-P51</f>
        <v>10.1675138199596</v>
      </c>
      <c r="R51" s="33" t="n">
        <f aca="false">R50*(1-Assumptions!$C$22)+P51*(1-Assumptions!$C$21)</f>
        <v>7.28296087253204</v>
      </c>
      <c r="S51" s="33" t="n">
        <f aca="false">Q51+R51</f>
        <v>17.4504746924916</v>
      </c>
      <c r="T51" s="33" t="n">
        <f aca="false">T50*(1-Assumptions!$C$24)+M51*Assumptions!$C$23</f>
        <v>1.4063651572385</v>
      </c>
      <c r="U51" s="33" t="n">
        <f aca="false">U50*(1-Assumptions!$C$25)+K51</f>
        <v>0</v>
      </c>
      <c r="V51" s="33" t="n">
        <f aca="false">V50+M51</f>
        <v>18.095382794148</v>
      </c>
      <c r="W51" s="33" t="n">
        <f aca="false">N51+Q50*Assumptions!$C$20+P51*Assumptions!$C$21+R50*Assumptions!$C$22+T50*Assumptions!$C$24+U50*Assumptions!$C$25</f>
        <v>1.03136572934977</v>
      </c>
      <c r="X51" s="33" t="n">
        <f aca="false">IF(A51&lt;Assumptions!$C$34,0,Assumptions!$C$36*MIN(1,(A51-Assumptions!$C$34+1)/Assumptions!$C$35))*(S51+T51)</f>
        <v>1.88568398497301</v>
      </c>
      <c r="Y51" s="31" t="n">
        <f aca="false">IF(Y50&gt;0,Y50,IF(AND(A51&gt;=Assumptions!$C$41,Q50+R50+T50&gt;=Assumptions!$C$40),A51,0))</f>
        <v>0</v>
      </c>
      <c r="Z51" s="33" t="n">
        <f aca="false">IF(Y51&gt;0,Assumptions!$C$42*MIN(1,(A51-Y51+1)/Assumptions!$C$43),0)*(S51+T51)</f>
        <v>0</v>
      </c>
      <c r="AA51" s="35" t="n">
        <f aca="false">(1+Assumptions!$C$32)^(C51-1)</f>
        <v>1</v>
      </c>
      <c r="AB51" s="36" t="n">
        <f aca="false">O51*Assumptions!$C$27*AA51</f>
        <v>93.8584117834016</v>
      </c>
      <c r="AC51" s="36" t="n">
        <f aca="false">(Q50+R50)*Assumptions!$C$28*AA51</f>
        <v>1710.99764062108</v>
      </c>
      <c r="AD51" s="36" t="n">
        <f aca="false">M51*Assumptions!$C$29*AA51</f>
        <v>238.529908224688</v>
      </c>
      <c r="AE51" s="36" t="n">
        <f aca="false">T50*Assumptions!$C$30*AA51</f>
        <v>110.159784065042</v>
      </c>
      <c r="AF51" s="36" t="n">
        <f aca="false">U50*Assumptions!$C$31*AA51</f>
        <v>0</v>
      </c>
      <c r="AG51" s="36" t="n">
        <f aca="false">X51*Assumptions!$C$37*Assumptions!$C$38</f>
        <v>94.2841992486507</v>
      </c>
      <c r="AH51" s="36" t="n">
        <f aca="false">Z51*Assumptions!$C$44*Assumptions!$C$45</f>
        <v>0</v>
      </c>
      <c r="AI51" s="36" t="n">
        <f aca="false">SUM(AB51:AH51)</f>
        <v>2247.82994394286</v>
      </c>
      <c r="AJ51" s="36" t="n">
        <f aca="false">(S51*Assumptions!$C$28+T51*Assumptions!$C$30+U51*Assumptions!$C$31)*AA51+AG51+AH51</f>
        <v>1932.98404122716</v>
      </c>
      <c r="AK51" s="36" t="n">
        <f aca="false">(AI51-AH51)*Assumptions!$C$49</f>
        <v>89.9131977577143</v>
      </c>
      <c r="AL51" s="36" t="n">
        <f aca="false">(AC51+AE51+AF51)*Assumptions!$C$50</f>
        <v>12.7481019728028</v>
      </c>
      <c r="AM51" s="36" t="n">
        <f aca="false">S51*Assumptions!$C$51+M51*Assumptions!$C$52</f>
        <v>28.9833310877995</v>
      </c>
      <c r="AN51" s="36" t="n">
        <f aca="false">Assumptions!$C$53+Assumptions!$C$54*(S51+T51+U51)</f>
        <v>275.427359398921</v>
      </c>
      <c r="AO51" s="36" t="n">
        <f aca="false">IF(C51&gt;=2,Assumptions!$C$55,0)</f>
        <v>100</v>
      </c>
      <c r="AP51" s="33" t="n">
        <f aca="false">E51*Assumptions!$C$60/60+F51*Assumptions!$C$61+J51*Assumptions!$C$62+(S51+T51)*Assumptions!$C$63+X51*Assumptions!$C$64+Z51*Assumptions!$C$65+U51*Assumptions!$C$66+Assumptions!$C$67*52/12</f>
        <v>91.6556974917098</v>
      </c>
      <c r="AQ51" s="33" t="n">
        <f aca="false">IF(BC50=1,Assumptions!$C$69,Assumptions!$C$68)*52/12</f>
        <v>78</v>
      </c>
      <c r="AR51" s="33" t="n">
        <f aca="false">MAX(0,AP51-AQ51)</f>
        <v>13.6556974917098</v>
      </c>
      <c r="AS51" s="36" t="n">
        <f aca="false">AR51*Assumptions!$C$70*Assumptions!$C$71</f>
        <v>177.524067392227</v>
      </c>
      <c r="AT51" s="36" t="n">
        <f aca="false">Assumptions!$C$56/12</f>
        <v>100</v>
      </c>
      <c r="AU51" s="36" t="n">
        <f aca="false">IF(A51=1,Assumptions!$C$57,0)+Assumptions!$C$58</f>
        <v>60</v>
      </c>
      <c r="AV51" s="36" t="n">
        <f aca="false">IF(AND(Y51&gt;0,Y51=A51),Assumptions!$C$46,0)+IF(Y51&gt;0,Assumptions!$C$47,0)</f>
        <v>0</v>
      </c>
      <c r="AW51" s="36" t="n">
        <f aca="false">AK51+AL51+AM51+AN51+AO51+AS51+AT51+AU51+AV51</f>
        <v>844.596057609464</v>
      </c>
      <c r="AX51" s="36" t="n">
        <f aca="false">AI51-AW51</f>
        <v>1403.23388633339</v>
      </c>
      <c r="AY51" s="36" t="n">
        <f aca="false">MAX(0,AX51)*Assumptions!$C$73</f>
        <v>420.970165900018</v>
      </c>
      <c r="AZ51" s="36" t="n">
        <f aca="false">AX51-AY51</f>
        <v>982.263720433376</v>
      </c>
      <c r="BA51" s="36" t="n">
        <f aca="false">BA50+AZ51</f>
        <v>23058.1183386961</v>
      </c>
      <c r="BB51" s="31" t="n">
        <f aca="false">IF(AZ51&gt;=Assumptions!$C$74/12,BB50+1,0)</f>
        <v>0</v>
      </c>
      <c r="BC51" s="31" t="n">
        <f aca="false">IF(OR(BC50=1,BB51&gt;=3),1,0)</f>
        <v>0</v>
      </c>
      <c r="BD51" s="31" t="n">
        <f aca="false">IF(AZ51&gt;=Assumptions!$C$75/12,BD50+1,0)</f>
        <v>0</v>
      </c>
      <c r="BE51" s="33" t="n">
        <f aca="false">AP51*12/52</f>
        <v>21.1513148057792</v>
      </c>
      <c r="BF51" s="33" t="n">
        <f aca="false">AR51*12/52</f>
        <v>3.15131480577918</v>
      </c>
      <c r="BG51" s="31" t="n">
        <f aca="false">IF(AX51&gt;0,A51,999)</f>
        <v>47</v>
      </c>
      <c r="BH51" s="31" t="n">
        <f aca="false">IF(BB51&gt;=3,A51,999)</f>
        <v>999</v>
      </c>
      <c r="BI51" s="31" t="n">
        <f aca="false">IF(BD51&gt;=3,A51,999)</f>
        <v>999</v>
      </c>
    </row>
    <row r="52" customFormat="false" ht="15" hidden="false" customHeight="false" outlineLevel="0" collapsed="false">
      <c r="A52" s="37" t="n">
        <v>48</v>
      </c>
      <c r="B52" s="38" t="n">
        <f aca="false">DATE(2026,10+A52,1)</f>
        <v>47757</v>
      </c>
      <c r="C52" s="37" t="n">
        <f aca="false">INT((A52-1)/12)+1</f>
        <v>4</v>
      </c>
      <c r="D52" s="37" t="n">
        <f aca="false">IF(C52=1,Assumptions!$C$7,IF(C52=2,Assumptions!$C$8,Assumptions!$C$9))</f>
        <v>15</v>
      </c>
      <c r="E52" s="37" t="n">
        <f aca="false">D52*Assumptions!$C$10</f>
        <v>300</v>
      </c>
      <c r="F52" s="39" t="n">
        <f aca="false">E52*Assumptions!$C$11</f>
        <v>15</v>
      </c>
      <c r="G52" s="40" t="n">
        <f aca="false">MIN(1,Assumptions!$C$13+(1-Assumptions!$C$13)*(A52-1)/Assumptions!$C$14)</f>
        <v>1</v>
      </c>
      <c r="H52" s="39" t="n">
        <f aca="false">F52*Assumptions!$C$12*G52</f>
        <v>1.5</v>
      </c>
      <c r="I52" s="39" t="n">
        <f aca="false">Assumptions!$C$15*(Q51+R51+T51+U51)</f>
        <v>0.0942841992486506</v>
      </c>
      <c r="J52" s="39" t="n">
        <f aca="false">H52+I52</f>
        <v>1.59428419924865</v>
      </c>
      <c r="K52" s="39" t="n">
        <f aca="false">J52*Assumptions!$C$18</f>
        <v>0</v>
      </c>
      <c r="L52" s="39" t="n">
        <f aca="false">(J52-K52)*Assumptions!$C$17</f>
        <v>1.11599893947406</v>
      </c>
      <c r="M52" s="39" t="n">
        <f aca="false">J52-K52-L52</f>
        <v>0.478285259774595</v>
      </c>
      <c r="N52" s="39" t="n">
        <f aca="false">L52*Assumptions!$C$19</f>
        <v>0.167399840921108</v>
      </c>
      <c r="O52" s="39" t="n">
        <f aca="false">L52-N52</f>
        <v>0.948599098552947</v>
      </c>
      <c r="P52" s="39" t="n">
        <f aca="false">O40*(1-Assumptions!$C$20)^12</f>
        <v>0.73762653772673</v>
      </c>
      <c r="Q52" s="39" t="n">
        <f aca="false">Q51*(1-Assumptions!$C$20)+O52-P52</f>
        <v>10.1751361043866</v>
      </c>
      <c r="R52" s="39" t="n">
        <f aca="false">R51*(1-Assumptions!$C$22)+P52*(1-Assumptions!$C$21)</f>
        <v>7.43515140531415</v>
      </c>
      <c r="S52" s="39" t="n">
        <f aca="false">Q52+R52</f>
        <v>17.6102875097008</v>
      </c>
      <c r="T52" s="39" t="n">
        <f aca="false">T51*(1-Assumptions!$C$24)+M52*Assumptions!$C$23</f>
        <v>1.41764029975911</v>
      </c>
      <c r="U52" s="39" t="n">
        <f aca="false">U51*(1-Assumptions!$C$25)+K52</f>
        <v>0</v>
      </c>
      <c r="V52" s="39" t="n">
        <f aca="false">V51+M52</f>
        <v>18.5736680539226</v>
      </c>
      <c r="W52" s="39" t="n">
        <f aca="false">N52+Q51*Assumptions!$C$20+P52*Assumptions!$C$21+R51*Assumptions!$C$22+T51*Assumptions!$C$24+U51*Assumptions!$C$25</f>
        <v>1.04056803169923</v>
      </c>
      <c r="X52" s="39" t="n">
        <f aca="false">IF(A52&lt;Assumptions!$C$34,0,Assumptions!$C$36*MIN(1,(A52-Assumptions!$C$34+1)/Assumptions!$C$35))*(S52+T52)</f>
        <v>1.90279278094599</v>
      </c>
      <c r="Y52" s="37" t="n">
        <f aca="false">IF(Y51&gt;0,Y51,IF(AND(A52&gt;=Assumptions!$C$41,Q51+R51+T51&gt;=Assumptions!$C$40),A52,0))</f>
        <v>0</v>
      </c>
      <c r="Z52" s="39" t="n">
        <f aca="false">IF(Y52&gt;0,Assumptions!$C$42*MIN(1,(A52-Y52+1)/Assumptions!$C$43),0)*(S52+T52)</f>
        <v>0</v>
      </c>
      <c r="AA52" s="41" t="n">
        <f aca="false">(1+Assumptions!$C$32)^(C52-1)</f>
        <v>1</v>
      </c>
      <c r="AB52" s="42" t="n">
        <f aca="false">O52*Assumptions!$C$27*AA52</f>
        <v>93.9113107567418</v>
      </c>
      <c r="AC52" s="42" t="n">
        <f aca="false">(Q51+R51)*Assumptions!$C$28*AA52</f>
        <v>1727.59699455667</v>
      </c>
      <c r="AD52" s="42" t="n">
        <f aca="false">M52*Assumptions!$C$29*AA52</f>
        <v>238.664344627523</v>
      </c>
      <c r="AE52" s="42" t="n">
        <f aca="false">T51*Assumptions!$C$30*AA52</f>
        <v>111.102847421841</v>
      </c>
      <c r="AF52" s="42" t="n">
        <f aca="false">U51*Assumptions!$C$31*AA52</f>
        <v>0</v>
      </c>
      <c r="AG52" s="42" t="n">
        <f aca="false">X52*Assumptions!$C$37*Assumptions!$C$38</f>
        <v>95.1396390472994</v>
      </c>
      <c r="AH52" s="42" t="n">
        <f aca="false">Z52*Assumptions!$C$44*Assumptions!$C$45</f>
        <v>0</v>
      </c>
      <c r="AI52" s="42" t="n">
        <f aca="false">SUM(AB52:AH52)</f>
        <v>2266.41513641008</v>
      </c>
      <c r="AJ52" s="42" t="n">
        <f aca="false">(S52*Assumptions!$C$28+T52*Assumptions!$C$30+U52*Assumptions!$C$31)*AA52+AG52+AH52</f>
        <v>1950.55168618864</v>
      </c>
      <c r="AK52" s="42" t="n">
        <f aca="false">(AI52-AH52)*Assumptions!$C$49</f>
        <v>90.6566054564031</v>
      </c>
      <c r="AL52" s="42" t="n">
        <f aca="false">(AC52+AE52+AF52)*Assumptions!$C$50</f>
        <v>12.8708988938496</v>
      </c>
      <c r="AM52" s="42" t="n">
        <f aca="false">S52*Assumptions!$C$51+M52*Assumptions!$C$52</f>
        <v>29.1871382837449</v>
      </c>
      <c r="AN52" s="42" t="n">
        <f aca="false">Assumptions!$C$53+Assumptions!$C$54*(S52+T52+U52)</f>
        <v>276.11171123784</v>
      </c>
      <c r="AO52" s="42" t="n">
        <f aca="false">IF(C52&gt;=2,Assumptions!$C$55,0)</f>
        <v>100</v>
      </c>
      <c r="AP52" s="39" t="n">
        <f aca="false">E52*Assumptions!$C$60/60+F52*Assumptions!$C$61+J52*Assumptions!$C$62+(S52+T52)*Assumptions!$C$63+X52*Assumptions!$C$64+Z52*Assumptions!$C$65+U52*Assumptions!$C$66+Assumptions!$C$67*52/12</f>
        <v>92.026230721418</v>
      </c>
      <c r="AQ52" s="39" t="n">
        <f aca="false">IF(BC51=1,Assumptions!$C$69,Assumptions!$C$68)*52/12</f>
        <v>78</v>
      </c>
      <c r="AR52" s="39" t="n">
        <f aca="false">MAX(0,AP52-AQ52)</f>
        <v>14.026230721418</v>
      </c>
      <c r="AS52" s="42" t="n">
        <f aca="false">AR52*Assumptions!$C$70*Assumptions!$C$71</f>
        <v>182.340999378434</v>
      </c>
      <c r="AT52" s="42" t="n">
        <f aca="false">Assumptions!$C$56/12</f>
        <v>100</v>
      </c>
      <c r="AU52" s="42" t="n">
        <f aca="false">IF(A52=1,Assumptions!$C$57,0)+Assumptions!$C$58</f>
        <v>60</v>
      </c>
      <c r="AV52" s="42" t="n">
        <f aca="false">IF(AND(Y52&gt;0,Y52=A52),Assumptions!$C$46,0)+IF(Y52&gt;0,Assumptions!$C$47,0)</f>
        <v>0</v>
      </c>
      <c r="AW52" s="42" t="n">
        <f aca="false">AK52+AL52+AM52+AN52+AO52+AS52+AT52+AU52+AV52</f>
        <v>851.167353250271</v>
      </c>
      <c r="AX52" s="42" t="n">
        <f aca="false">AI52-AW52</f>
        <v>1415.24778315981</v>
      </c>
      <c r="AY52" s="42" t="n">
        <f aca="false">MAX(0,AX52)*Assumptions!$C$73</f>
        <v>424.574334947942</v>
      </c>
      <c r="AZ52" s="42" t="n">
        <f aca="false">AX52-AY52</f>
        <v>990.673448211864</v>
      </c>
      <c r="BA52" s="42" t="n">
        <f aca="false">BA51+AZ52</f>
        <v>24048.791786908</v>
      </c>
      <c r="BB52" s="37" t="n">
        <f aca="false">IF(AZ52&gt;=Assumptions!$C$74/12,BB51+1,0)</f>
        <v>0</v>
      </c>
      <c r="BC52" s="37" t="n">
        <f aca="false">IF(OR(BC51=1,BB52&gt;=3),1,0)</f>
        <v>0</v>
      </c>
      <c r="BD52" s="37" t="n">
        <f aca="false">IF(AZ52&gt;=Assumptions!$C$75/12,BD51+1,0)</f>
        <v>0</v>
      </c>
      <c r="BE52" s="39" t="n">
        <f aca="false">AP52*12/52</f>
        <v>21.2368224741734</v>
      </c>
      <c r="BF52" s="39" t="n">
        <f aca="false">AR52*12/52</f>
        <v>3.23682247417339</v>
      </c>
      <c r="BG52" s="37" t="n">
        <f aca="false">IF(AX52&gt;0,A52,999)</f>
        <v>48</v>
      </c>
      <c r="BH52" s="37" t="n">
        <f aca="false">IF(BB52&gt;=3,A52,999)</f>
        <v>999</v>
      </c>
      <c r="BI52" s="37" t="n">
        <f aca="false">IF(BD52&gt;=3,A52,999)</f>
        <v>999</v>
      </c>
    </row>
    <row r="53" customFormat="false" ht="15" hidden="false" customHeight="false" outlineLevel="0" collapsed="false">
      <c r="A53" s="31" t="n">
        <v>49</v>
      </c>
      <c r="B53" s="32" t="n">
        <f aca="false">DATE(2026,10+A53,1)</f>
        <v>47788</v>
      </c>
      <c r="C53" s="31" t="n">
        <f aca="false">INT((A53-1)/12)+1</f>
        <v>5</v>
      </c>
      <c r="D53" s="31" t="n">
        <f aca="false">IF(C53=1,Assumptions!$C$7,IF(C53=2,Assumptions!$C$8,Assumptions!$C$9))</f>
        <v>15</v>
      </c>
      <c r="E53" s="31" t="n">
        <f aca="false">D53*Assumptions!$C$10</f>
        <v>300</v>
      </c>
      <c r="F53" s="33" t="n">
        <f aca="false">E53*Assumptions!$C$11</f>
        <v>15</v>
      </c>
      <c r="G53" s="34" t="n">
        <f aca="false">MIN(1,Assumptions!$C$13+(1-Assumptions!$C$13)*(A53-1)/Assumptions!$C$14)</f>
        <v>1</v>
      </c>
      <c r="H53" s="33" t="n">
        <f aca="false">F53*Assumptions!$C$12*G53</f>
        <v>1.5</v>
      </c>
      <c r="I53" s="33" t="n">
        <f aca="false">Assumptions!$C$15*(Q52+R52+T52+U52)</f>
        <v>0.0951396390472994</v>
      </c>
      <c r="J53" s="33" t="n">
        <f aca="false">H53+I53</f>
        <v>1.5951396390473</v>
      </c>
      <c r="K53" s="33" t="n">
        <f aca="false">J53*Assumptions!$C$18</f>
        <v>0</v>
      </c>
      <c r="L53" s="33" t="n">
        <f aca="false">(J53-K53)*Assumptions!$C$17</f>
        <v>1.11659774733311</v>
      </c>
      <c r="M53" s="33" t="n">
        <f aca="false">J53-K53-L53</f>
        <v>0.47854189171419</v>
      </c>
      <c r="N53" s="33" t="n">
        <f aca="false">L53*Assumptions!$C$19</f>
        <v>0.167489662099966</v>
      </c>
      <c r="O53" s="33" t="n">
        <f aca="false">L53-N53</f>
        <v>0.949108085233143</v>
      </c>
      <c r="P53" s="33" t="n">
        <f aca="false">O41*(1-Assumptions!$C$20)^12</f>
        <v>0.738433531146604</v>
      </c>
      <c r="Q53" s="33" t="n">
        <f aca="false">Q52*(1-Assumptions!$C$20)+O53-P53</f>
        <v>10.1823079363854</v>
      </c>
      <c r="R53" s="33" t="n">
        <f aca="false">R52*(1-Assumptions!$C$22)+P53*(1-Assumptions!$C$21)</f>
        <v>7.58029730685106</v>
      </c>
      <c r="S53" s="33" t="n">
        <f aca="false">Q53+R53</f>
        <v>17.7626052432365</v>
      </c>
      <c r="T53" s="33" t="n">
        <f aca="false">T52*(1-Assumptions!$C$24)+M53*Assumptions!$C$23</f>
        <v>1.4282902601164</v>
      </c>
      <c r="U53" s="33" t="n">
        <f aca="false">U52*(1-Assumptions!$C$25)+K53</f>
        <v>0</v>
      </c>
      <c r="V53" s="33" t="n">
        <f aca="false">V52+M53</f>
        <v>19.0522099456368</v>
      </c>
      <c r="W53" s="33" t="n">
        <f aca="false">N53+Q52*Assumptions!$C$20+P53*Assumptions!$C$21+R52*Assumptions!$C$22+T52*Assumptions!$C$24+U52*Assumptions!$C$25</f>
        <v>1.04933843178293</v>
      </c>
      <c r="X53" s="33" t="n">
        <f aca="false">IF(A53&lt;Assumptions!$C$34,0,Assumptions!$C$36*MIN(1,(A53-Assumptions!$C$34+1)/Assumptions!$C$35))*(S53+T53)</f>
        <v>1.91908955033529</v>
      </c>
      <c r="Y53" s="31" t="n">
        <f aca="false">IF(Y52&gt;0,Y52,IF(AND(A53&gt;=Assumptions!$C$41,Q52+R52+T52&gt;=Assumptions!$C$40),A53,0))</f>
        <v>0</v>
      </c>
      <c r="Z53" s="33" t="n">
        <f aca="false">IF(Y53&gt;0,Assumptions!$C$42*MIN(1,(A53-Y53+1)/Assumptions!$C$43),0)*(S53+T53)</f>
        <v>0</v>
      </c>
      <c r="AA53" s="35" t="n">
        <f aca="false">(1+Assumptions!$C$32)^(C53-1)</f>
        <v>1</v>
      </c>
      <c r="AB53" s="36" t="n">
        <f aca="false">O53*Assumptions!$C$27*AA53</f>
        <v>93.9617004380812</v>
      </c>
      <c r="AC53" s="36" t="n">
        <f aca="false">(Q52+R52)*Assumptions!$C$28*AA53</f>
        <v>1743.41846346038</v>
      </c>
      <c r="AD53" s="36" t="n">
        <f aca="false">M53*Assumptions!$C$29*AA53</f>
        <v>238.792403965381</v>
      </c>
      <c r="AE53" s="36" t="n">
        <f aca="false">T52*Assumptions!$C$30*AA53</f>
        <v>111.993583680969</v>
      </c>
      <c r="AF53" s="36" t="n">
        <f aca="false">U52*Assumptions!$C$31*AA53</f>
        <v>0</v>
      </c>
      <c r="AG53" s="36" t="n">
        <f aca="false">X53*Assumptions!$C$37*Assumptions!$C$38</f>
        <v>95.9544775167644</v>
      </c>
      <c r="AH53" s="36" t="n">
        <f aca="false">Z53*Assumptions!$C$44*Assumptions!$C$45</f>
        <v>0</v>
      </c>
      <c r="AI53" s="36" t="n">
        <f aca="false">SUM(AB53:AH53)</f>
        <v>2284.12062906157</v>
      </c>
      <c r="AJ53" s="36" t="n">
        <f aca="false">(S53*Assumptions!$C$28+T53*Assumptions!$C$30+U53*Assumptions!$C$31)*AA53+AG53+AH53</f>
        <v>1967.28732714637</v>
      </c>
      <c r="AK53" s="36" t="n">
        <f aca="false">(AI53-AH53)*Assumptions!$C$49</f>
        <v>91.3648251624629</v>
      </c>
      <c r="AL53" s="36" t="n">
        <f aca="false">(AC53+AE53+AF53)*Assumptions!$C$50</f>
        <v>12.9878843299894</v>
      </c>
      <c r="AM53" s="36" t="n">
        <f aca="false">S53*Assumptions!$C$51+M53*Assumptions!$C$52</f>
        <v>29.3813849297585</v>
      </c>
      <c r="AN53" s="36" t="n">
        <f aca="false">Assumptions!$C$53+Assumptions!$C$54*(S53+T53+U53)</f>
        <v>276.763582013412</v>
      </c>
      <c r="AO53" s="36" t="n">
        <f aca="false">IF(C53&gt;=2,Assumptions!$C$55,0)</f>
        <v>100</v>
      </c>
      <c r="AP53" s="33" t="n">
        <f aca="false">E53*Assumptions!$C$60/60+F53*Assumptions!$C$61+J53*Assumptions!$C$62+(S53+T53)*Assumptions!$C$63+X53*Assumptions!$C$64+Z53*Assumptions!$C$65+U53*Assumptions!$C$66+Assumptions!$C$67*52/12</f>
        <v>92.3791775826839</v>
      </c>
      <c r="AQ53" s="33" t="n">
        <f aca="false">IF(BC52=1,Assumptions!$C$69,Assumptions!$C$68)*52/12</f>
        <v>78</v>
      </c>
      <c r="AR53" s="33" t="n">
        <f aca="false">MAX(0,AP53-AQ53)</f>
        <v>14.3791775826839</v>
      </c>
      <c r="AS53" s="36" t="n">
        <f aca="false">AR53*Assumptions!$C$70*Assumptions!$C$71</f>
        <v>186.929308574891</v>
      </c>
      <c r="AT53" s="36" t="n">
        <f aca="false">Assumptions!$C$56/12</f>
        <v>100</v>
      </c>
      <c r="AU53" s="36" t="n">
        <f aca="false">IF(A53=1,Assumptions!$C$57,0)+Assumptions!$C$58</f>
        <v>60</v>
      </c>
      <c r="AV53" s="36" t="n">
        <f aca="false">IF(AND(Y53&gt;0,Y53=A53),Assumptions!$C$46,0)+IF(Y53&gt;0,Assumptions!$C$47,0)</f>
        <v>0</v>
      </c>
      <c r="AW53" s="36" t="n">
        <f aca="false">AK53+AL53+AM53+AN53+AO53+AS53+AT53+AU53+AV53</f>
        <v>857.426985010513</v>
      </c>
      <c r="AX53" s="36" t="n">
        <f aca="false">AI53-AW53</f>
        <v>1426.69364405106</v>
      </c>
      <c r="AY53" s="36" t="n">
        <f aca="false">MAX(0,AX53)*Assumptions!$C$73</f>
        <v>428.008093215318</v>
      </c>
      <c r="AZ53" s="36" t="n">
        <f aca="false">AX53-AY53</f>
        <v>998.685550835741</v>
      </c>
      <c r="BA53" s="36" t="n">
        <f aca="false">BA52+AZ53</f>
        <v>25047.4773377437</v>
      </c>
      <c r="BB53" s="31" t="n">
        <f aca="false">IF(AZ53&gt;=Assumptions!$C$74/12,BB52+1,0)</f>
        <v>0</v>
      </c>
      <c r="BC53" s="31" t="n">
        <f aca="false">IF(OR(BC52=1,BB53&gt;=3),1,0)</f>
        <v>0</v>
      </c>
      <c r="BD53" s="31" t="n">
        <f aca="false">IF(AZ53&gt;=Assumptions!$C$75/12,BD52+1,0)</f>
        <v>0</v>
      </c>
      <c r="BE53" s="33" t="n">
        <f aca="false">AP53*12/52</f>
        <v>21.3182717498501</v>
      </c>
      <c r="BF53" s="33" t="n">
        <f aca="false">AR53*12/52</f>
        <v>3.31827174985014</v>
      </c>
      <c r="BG53" s="31" t="n">
        <f aca="false">IF(AX53&gt;0,A53,999)</f>
        <v>49</v>
      </c>
      <c r="BH53" s="31" t="n">
        <f aca="false">IF(BB53&gt;=3,A53,999)</f>
        <v>999</v>
      </c>
      <c r="BI53" s="31" t="n">
        <f aca="false">IF(BD53&gt;=3,A53,999)</f>
        <v>999</v>
      </c>
    </row>
    <row r="54" customFormat="false" ht="15" hidden="false" customHeight="false" outlineLevel="0" collapsed="false">
      <c r="A54" s="31" t="n">
        <v>50</v>
      </c>
      <c r="B54" s="32" t="n">
        <f aca="false">DATE(2026,10+A54,1)</f>
        <v>47818</v>
      </c>
      <c r="C54" s="31" t="n">
        <f aca="false">INT((A54-1)/12)+1</f>
        <v>5</v>
      </c>
      <c r="D54" s="31" t="n">
        <f aca="false">IF(C54=1,Assumptions!$C$7,IF(C54=2,Assumptions!$C$8,Assumptions!$C$9))</f>
        <v>15</v>
      </c>
      <c r="E54" s="31" t="n">
        <f aca="false">D54*Assumptions!$C$10</f>
        <v>300</v>
      </c>
      <c r="F54" s="33" t="n">
        <f aca="false">E54*Assumptions!$C$11</f>
        <v>15</v>
      </c>
      <c r="G54" s="34" t="n">
        <f aca="false">MIN(1,Assumptions!$C$13+(1-Assumptions!$C$13)*(A54-1)/Assumptions!$C$14)</f>
        <v>1</v>
      </c>
      <c r="H54" s="33" t="n">
        <f aca="false">F54*Assumptions!$C$12*G54</f>
        <v>1.5</v>
      </c>
      <c r="I54" s="33" t="n">
        <f aca="false">Assumptions!$C$15*(Q53+R53+T53+U53)</f>
        <v>0.0959544775167644</v>
      </c>
      <c r="J54" s="33" t="n">
        <f aca="false">H54+I54</f>
        <v>1.59595447751676</v>
      </c>
      <c r="K54" s="33" t="n">
        <f aca="false">J54*Assumptions!$C$18</f>
        <v>0</v>
      </c>
      <c r="L54" s="33" t="n">
        <f aca="false">(J54-K54)*Assumptions!$C$17</f>
        <v>1.11716813426174</v>
      </c>
      <c r="M54" s="33" t="n">
        <f aca="false">J54-K54-L54</f>
        <v>0.478786343255029</v>
      </c>
      <c r="N54" s="33" t="n">
        <f aca="false">L54*Assumptions!$C$19</f>
        <v>0.16757522013926</v>
      </c>
      <c r="O54" s="33" t="n">
        <f aca="false">L54-N54</f>
        <v>0.949592914122475</v>
      </c>
      <c r="P54" s="33" t="n">
        <f aca="false">O42*(1-Assumptions!$C$20)^12</f>
        <v>0.739114562306038</v>
      </c>
      <c r="Q54" s="33" t="n">
        <f aca="false">Q53*(1-Assumptions!$C$20)+O54-P54</f>
        <v>10.1891401294742</v>
      </c>
      <c r="R54" s="33" t="n">
        <f aca="false">R53*(1-Assumptions!$C$22)+P54*(1-Assumptions!$C$21)</f>
        <v>7.71866263512274</v>
      </c>
      <c r="S54" s="33" t="n">
        <f aca="false">Q54+R54</f>
        <v>17.9078027645969</v>
      </c>
      <c r="T54" s="33" t="n">
        <f aca="false">T53*(1-Assumptions!$C$24)+M54*Assumptions!$C$23</f>
        <v>1.43835011316042</v>
      </c>
      <c r="U54" s="33" t="n">
        <f aca="false">U53*(1-Assumptions!$C$25)+K54</f>
        <v>0</v>
      </c>
      <c r="V54" s="33" t="n">
        <f aca="false">V53+M54</f>
        <v>19.5309962888918</v>
      </c>
      <c r="W54" s="33" t="n">
        <f aca="false">N54+Q53*Assumptions!$C$20+P54*Assumptions!$C$21+R53*Assumptions!$C$22+T53*Assumptions!$C$24+U53*Assumptions!$C$25</f>
        <v>1.05766802850832</v>
      </c>
      <c r="X54" s="33" t="n">
        <f aca="false">IF(A54&lt;Assumptions!$C$34,0,Assumptions!$C$36*MIN(1,(A54-Assumptions!$C$34+1)/Assumptions!$C$35))*(S54+T54)</f>
        <v>1.93461528777573</v>
      </c>
      <c r="Y54" s="31" t="n">
        <f aca="false">IF(Y53&gt;0,Y53,IF(AND(A54&gt;=Assumptions!$C$41,Q53+R53+T53&gt;=Assumptions!$C$40),A54,0))</f>
        <v>0</v>
      </c>
      <c r="Z54" s="33" t="n">
        <f aca="false">IF(Y54&gt;0,Assumptions!$C$42*MIN(1,(A54-Y54+1)/Assumptions!$C$43),0)*(S54+T54)</f>
        <v>0</v>
      </c>
      <c r="AA54" s="35" t="n">
        <f aca="false">(1+Assumptions!$C$32)^(C54-1)</f>
        <v>1</v>
      </c>
      <c r="AB54" s="36" t="n">
        <f aca="false">O54*Assumptions!$C$27*AA54</f>
        <v>94.009698498125</v>
      </c>
      <c r="AC54" s="36" t="n">
        <f aca="false">(Q53+R53)*Assumptions!$C$28*AA54</f>
        <v>1758.49791908041</v>
      </c>
      <c r="AD54" s="36" t="n">
        <f aca="false">M54*Assumptions!$C$29*AA54</f>
        <v>238.91438528426</v>
      </c>
      <c r="AE54" s="36" t="n">
        <f aca="false">T53*Assumptions!$C$30*AA54</f>
        <v>112.834930549195</v>
      </c>
      <c r="AF54" s="36" t="n">
        <f aca="false">U53*Assumptions!$C$31*AA54</f>
        <v>0</v>
      </c>
      <c r="AG54" s="36" t="n">
        <f aca="false">X54*Assumptions!$C$37*Assumptions!$C$38</f>
        <v>96.7307643887865</v>
      </c>
      <c r="AH54" s="36" t="n">
        <f aca="false">Z54*Assumptions!$C$44*Assumptions!$C$45</f>
        <v>0</v>
      </c>
      <c r="AI54" s="36" t="n">
        <f aca="false">SUM(AB54:AH54)</f>
        <v>2300.98769780078</v>
      </c>
      <c r="AJ54" s="36" t="n">
        <f aca="false">(S54*Assumptions!$C$28+T54*Assumptions!$C$30+U54*Assumptions!$C$31)*AA54+AG54+AH54</f>
        <v>1983.23289702355</v>
      </c>
      <c r="AK54" s="36" t="n">
        <f aca="false">(AI54-AH54)*Assumptions!$C$49</f>
        <v>92.0395079120312</v>
      </c>
      <c r="AL54" s="36" t="n">
        <f aca="false">(AC54+AE54+AF54)*Assumptions!$C$50</f>
        <v>13.0993299474073</v>
      </c>
      <c r="AM54" s="36" t="n">
        <f aca="false">S54*Assumptions!$C$51+M54*Assumptions!$C$52</f>
        <v>29.5665486045716</v>
      </c>
      <c r="AN54" s="36" t="n">
        <f aca="false">Assumptions!$C$53+Assumptions!$C$54*(S54+T54+U54)</f>
        <v>277.384611511029</v>
      </c>
      <c r="AO54" s="36" t="n">
        <f aca="false">IF(C54&gt;=2,Assumptions!$C$55,0)</f>
        <v>100</v>
      </c>
      <c r="AP54" s="33" t="n">
        <f aca="false">E54*Assumptions!$C$60/60+F54*Assumptions!$C$61+J54*Assumptions!$C$62+(S54+T54)*Assumptions!$C$63+X54*Assumptions!$C$64+Z54*Assumptions!$C$65+U54*Assumptions!$C$66+Assumptions!$C$67*52/12</f>
        <v>92.7154254530618</v>
      </c>
      <c r="AQ54" s="33" t="n">
        <f aca="false">IF(BC53=1,Assumptions!$C$69,Assumptions!$C$68)*52/12</f>
        <v>78</v>
      </c>
      <c r="AR54" s="33" t="n">
        <f aca="false">MAX(0,AP54-AQ54)</f>
        <v>14.7154254530618</v>
      </c>
      <c r="AS54" s="36" t="n">
        <f aca="false">AR54*Assumptions!$C$70*Assumptions!$C$71</f>
        <v>191.300530889804</v>
      </c>
      <c r="AT54" s="36" t="n">
        <f aca="false">Assumptions!$C$56/12</f>
        <v>100</v>
      </c>
      <c r="AU54" s="36" t="n">
        <f aca="false">IF(A54=1,Assumptions!$C$57,0)+Assumptions!$C$58</f>
        <v>60</v>
      </c>
      <c r="AV54" s="36" t="n">
        <f aca="false">IF(AND(Y54&gt;0,Y54=A54),Assumptions!$C$46,0)+IF(Y54&gt;0,Assumptions!$C$47,0)</f>
        <v>0</v>
      </c>
      <c r="AW54" s="36" t="n">
        <f aca="false">AK54+AL54+AM54+AN54+AO54+AS54+AT54+AU54+AV54</f>
        <v>863.390528864843</v>
      </c>
      <c r="AX54" s="36" t="n">
        <f aca="false">AI54-AW54</f>
        <v>1437.59716893594</v>
      </c>
      <c r="AY54" s="36" t="n">
        <f aca="false">MAX(0,AX54)*Assumptions!$C$73</f>
        <v>431.279150680781</v>
      </c>
      <c r="AZ54" s="36" t="n">
        <f aca="false">AX54-AY54</f>
        <v>1006.31801825516</v>
      </c>
      <c r="BA54" s="36" t="n">
        <f aca="false">BA53+AZ54</f>
        <v>26053.7953559989</v>
      </c>
      <c r="BB54" s="31" t="n">
        <f aca="false">IF(AZ54&gt;=Assumptions!$C$74/12,BB53+1,0)</f>
        <v>0</v>
      </c>
      <c r="BC54" s="31" t="n">
        <f aca="false">IF(OR(BC53=1,BB54&gt;=3),1,0)</f>
        <v>0</v>
      </c>
      <c r="BD54" s="31" t="n">
        <f aca="false">IF(AZ54&gt;=Assumptions!$C$75/12,BD53+1,0)</f>
        <v>0</v>
      </c>
      <c r="BE54" s="33" t="n">
        <f aca="false">AP54*12/52</f>
        <v>21.395867412245</v>
      </c>
      <c r="BF54" s="33" t="n">
        <f aca="false">AR54*12/52</f>
        <v>3.39586741224504</v>
      </c>
      <c r="BG54" s="31" t="n">
        <f aca="false">IF(AX54&gt;0,A54,999)</f>
        <v>50</v>
      </c>
      <c r="BH54" s="31" t="n">
        <f aca="false">IF(BB54&gt;=3,A54,999)</f>
        <v>999</v>
      </c>
      <c r="BI54" s="31" t="n">
        <f aca="false">IF(BD54&gt;=3,A54,999)</f>
        <v>999</v>
      </c>
    </row>
    <row r="55" customFormat="false" ht="15" hidden="false" customHeight="false" outlineLevel="0" collapsed="false">
      <c r="A55" s="31" t="n">
        <v>51</v>
      </c>
      <c r="B55" s="32" t="n">
        <f aca="false">DATE(2026,10+A55,1)</f>
        <v>47849</v>
      </c>
      <c r="C55" s="31" t="n">
        <f aca="false">INT((A55-1)/12)+1</f>
        <v>5</v>
      </c>
      <c r="D55" s="31" t="n">
        <f aca="false">IF(C55=1,Assumptions!$C$7,IF(C55=2,Assumptions!$C$8,Assumptions!$C$9))</f>
        <v>15</v>
      </c>
      <c r="E55" s="31" t="n">
        <f aca="false">D55*Assumptions!$C$10</f>
        <v>300</v>
      </c>
      <c r="F55" s="33" t="n">
        <f aca="false">E55*Assumptions!$C$11</f>
        <v>15</v>
      </c>
      <c r="G55" s="34" t="n">
        <f aca="false">MIN(1,Assumptions!$C$13+(1-Assumptions!$C$13)*(A55-1)/Assumptions!$C$14)</f>
        <v>1</v>
      </c>
      <c r="H55" s="33" t="n">
        <f aca="false">F55*Assumptions!$C$12*G55</f>
        <v>1.5</v>
      </c>
      <c r="I55" s="33" t="n">
        <f aca="false">Assumptions!$C$15*(Q54+R54+T54+U54)</f>
        <v>0.0967307643887865</v>
      </c>
      <c r="J55" s="33" t="n">
        <f aca="false">H55+I55</f>
        <v>1.59673076438879</v>
      </c>
      <c r="K55" s="33" t="n">
        <f aca="false">J55*Assumptions!$C$18</f>
        <v>0</v>
      </c>
      <c r="L55" s="33" t="n">
        <f aca="false">(J55-K55)*Assumptions!$C$17</f>
        <v>1.11771153507215</v>
      </c>
      <c r="M55" s="33" t="n">
        <f aca="false">J55-K55-L55</f>
        <v>0.479019229316636</v>
      </c>
      <c r="N55" s="33" t="n">
        <f aca="false">L55*Assumptions!$C$19</f>
        <v>0.167656730260823</v>
      </c>
      <c r="O55" s="33" t="n">
        <f aca="false">L55-N55</f>
        <v>0.950054804811328</v>
      </c>
      <c r="P55" s="33" t="n">
        <f aca="false">O43*(1-Assumptions!$C$20)^12</f>
        <v>0.739763377722321</v>
      </c>
      <c r="Q55" s="33" t="n">
        <f aca="false">Q54*(1-Assumptions!$C$20)+O55-P55</f>
        <v>10.1956487539737</v>
      </c>
      <c r="R55" s="33" t="n">
        <f aca="false">R54*(1-Assumptions!$C$22)+P55*(1-Assumptions!$C$21)</f>
        <v>7.85056386777222</v>
      </c>
      <c r="S55" s="33" t="n">
        <f aca="false">Q55+R55</f>
        <v>18.0462126217459</v>
      </c>
      <c r="T55" s="33" t="n">
        <f aca="false">T54*(1-Assumptions!$C$24)+M55*Assumptions!$C$23</f>
        <v>1.44785295223412</v>
      </c>
      <c r="U55" s="33" t="n">
        <f aca="false">U54*(1-Assumptions!$C$25)+K55</f>
        <v>0</v>
      </c>
      <c r="V55" s="33" t="n">
        <f aca="false">V54+M55</f>
        <v>20.0100155182084</v>
      </c>
      <c r="W55" s="33" t="n">
        <f aca="false">N55+Q54*Assumptions!$C$20+P55*Assumptions!$C$21+R54*Assumptions!$C$22+T54*Assumptions!$C$24+U54*Assumptions!$C$25</f>
        <v>1.06560268471276</v>
      </c>
      <c r="X55" s="33" t="n">
        <f aca="false">IF(A55&lt;Assumptions!$C$34,0,Assumptions!$C$36*MIN(1,(A55-Assumptions!$C$34+1)/Assumptions!$C$35))*(S55+T55)</f>
        <v>1.949406557398</v>
      </c>
      <c r="Y55" s="31" t="n">
        <f aca="false">IF(Y54&gt;0,Y54,IF(AND(A55&gt;=Assumptions!$C$41,Q54+R54+T54&gt;=Assumptions!$C$40),A55,0))</f>
        <v>0</v>
      </c>
      <c r="Z55" s="33" t="n">
        <f aca="false">IF(Y55&gt;0,Assumptions!$C$42*MIN(1,(A55-Y55+1)/Assumptions!$C$43),0)*(S55+T55)</f>
        <v>0</v>
      </c>
      <c r="AA55" s="35" t="n">
        <f aca="false">(1+Assumptions!$C$32)^(C55-1)</f>
        <v>1</v>
      </c>
      <c r="AB55" s="36" t="n">
        <f aca="false">O55*Assumptions!$C$27*AA55</f>
        <v>94.0554256763215</v>
      </c>
      <c r="AC55" s="36" t="n">
        <f aca="false">(Q54+R54)*Assumptions!$C$28*AA55</f>
        <v>1772.87247369509</v>
      </c>
      <c r="AD55" s="36" t="n">
        <f aca="false">M55*Assumptions!$C$29*AA55</f>
        <v>239.030595429001</v>
      </c>
      <c r="AE55" s="36" t="n">
        <f aca="false">T54*Assumptions!$C$30*AA55</f>
        <v>113.629658939673</v>
      </c>
      <c r="AF55" s="36" t="n">
        <f aca="false">U54*Assumptions!$C$31*AA55</f>
        <v>0</v>
      </c>
      <c r="AG55" s="36" t="n">
        <f aca="false">X55*Assumptions!$C$37*Assumptions!$C$38</f>
        <v>97.4703278699001</v>
      </c>
      <c r="AH55" s="36" t="n">
        <f aca="false">Z55*Assumptions!$C$44*Assumptions!$C$45</f>
        <v>0</v>
      </c>
      <c r="AI55" s="36" t="n">
        <f aca="false">SUM(AB55:AH55)</f>
        <v>2317.05848160999</v>
      </c>
      <c r="AJ55" s="36" t="n">
        <f aca="false">(S55*Assumptions!$C$28+T55*Assumptions!$C$30+U55*Assumptions!$C$31)*AA55+AG55+AH55</f>
        <v>1998.42576064924</v>
      </c>
      <c r="AK55" s="36" t="n">
        <f aca="false">(AI55-AH55)*Assumptions!$C$49</f>
        <v>92.6823392643995</v>
      </c>
      <c r="AL55" s="36" t="n">
        <f aca="false">(AC55+AE55+AF55)*Assumptions!$C$50</f>
        <v>13.2055149284434</v>
      </c>
      <c r="AM55" s="36" t="n">
        <f aca="false">S55*Assumptions!$C$51+M55*Assumptions!$C$52</f>
        <v>29.7430542169319</v>
      </c>
      <c r="AN55" s="36" t="n">
        <f aca="false">Assumptions!$C$53+Assumptions!$C$54*(S55+T55+U55)</f>
        <v>277.97626229592</v>
      </c>
      <c r="AO55" s="36" t="n">
        <f aca="false">IF(C55&gt;=2,Assumptions!$C$55,0)</f>
        <v>100</v>
      </c>
      <c r="AP55" s="33" t="n">
        <f aca="false">E55*Assumptions!$C$60/60+F55*Assumptions!$C$61+J55*Assumptions!$C$62+(S55+T55)*Assumptions!$C$63+X55*Assumptions!$C$64+Z55*Assumptions!$C$65+U55*Assumptions!$C$66+Assumptions!$C$67*52/12</f>
        <v>93.0357666105567</v>
      </c>
      <c r="AQ55" s="33" t="n">
        <f aca="false">IF(BC54=1,Assumptions!$C$69,Assumptions!$C$68)*52/12</f>
        <v>78</v>
      </c>
      <c r="AR55" s="33" t="n">
        <f aca="false">MAX(0,AP55-AQ55)</f>
        <v>15.0357666105567</v>
      </c>
      <c r="AS55" s="36" t="n">
        <f aca="false">AR55*Assumptions!$C$70*Assumptions!$C$71</f>
        <v>195.464965937237</v>
      </c>
      <c r="AT55" s="36" t="n">
        <f aca="false">Assumptions!$C$56/12</f>
        <v>100</v>
      </c>
      <c r="AU55" s="36" t="n">
        <f aca="false">IF(A55=1,Assumptions!$C$57,0)+Assumptions!$C$58</f>
        <v>60</v>
      </c>
      <c r="AV55" s="36" t="n">
        <f aca="false">IF(AND(Y55&gt;0,Y55=A55),Assumptions!$C$46,0)+IF(Y55&gt;0,Assumptions!$C$47,0)</f>
        <v>0</v>
      </c>
      <c r="AW55" s="36" t="n">
        <f aca="false">AK55+AL55+AM55+AN55+AO55+AS55+AT55+AU55+AV55</f>
        <v>869.072136642932</v>
      </c>
      <c r="AX55" s="36" t="n">
        <f aca="false">AI55-AW55</f>
        <v>1447.98634496706</v>
      </c>
      <c r="AY55" s="36" t="n">
        <f aca="false">MAX(0,AX55)*Assumptions!$C$73</f>
        <v>434.395903490117</v>
      </c>
      <c r="AZ55" s="36" t="n">
        <f aca="false">AX55-AY55</f>
        <v>1013.59044147694</v>
      </c>
      <c r="BA55" s="36" t="n">
        <f aca="false">BA54+AZ55</f>
        <v>27067.3857974758</v>
      </c>
      <c r="BB55" s="31" t="n">
        <f aca="false">IF(AZ55&gt;=Assumptions!$C$74/12,BB54+1,0)</f>
        <v>0</v>
      </c>
      <c r="BC55" s="31" t="n">
        <f aca="false">IF(OR(BC54=1,BB55&gt;=3),1,0)</f>
        <v>0</v>
      </c>
      <c r="BD55" s="31" t="n">
        <f aca="false">IF(AZ55&gt;=Assumptions!$C$75/12,BD54+1,0)</f>
        <v>0</v>
      </c>
      <c r="BE55" s="33" t="n">
        <f aca="false">AP55*12/52</f>
        <v>21.4697922947439</v>
      </c>
      <c r="BF55" s="33" t="n">
        <f aca="false">AR55*12/52</f>
        <v>3.46979229474386</v>
      </c>
      <c r="BG55" s="31" t="n">
        <f aca="false">IF(AX55&gt;0,A55,999)</f>
        <v>51</v>
      </c>
      <c r="BH55" s="31" t="n">
        <f aca="false">IF(BB55&gt;=3,A55,999)</f>
        <v>999</v>
      </c>
      <c r="BI55" s="31" t="n">
        <f aca="false">IF(BD55&gt;=3,A55,999)</f>
        <v>999</v>
      </c>
    </row>
    <row r="56" customFormat="false" ht="15" hidden="false" customHeight="false" outlineLevel="0" collapsed="false">
      <c r="A56" s="31" t="n">
        <v>52</v>
      </c>
      <c r="B56" s="32" t="n">
        <f aca="false">DATE(2026,10+A56,1)</f>
        <v>47880</v>
      </c>
      <c r="C56" s="31" t="n">
        <f aca="false">INT((A56-1)/12)+1</f>
        <v>5</v>
      </c>
      <c r="D56" s="31" t="n">
        <f aca="false">IF(C56=1,Assumptions!$C$7,IF(C56=2,Assumptions!$C$8,Assumptions!$C$9))</f>
        <v>15</v>
      </c>
      <c r="E56" s="31" t="n">
        <f aca="false">D56*Assumptions!$C$10</f>
        <v>300</v>
      </c>
      <c r="F56" s="33" t="n">
        <f aca="false">E56*Assumptions!$C$11</f>
        <v>15</v>
      </c>
      <c r="G56" s="34" t="n">
        <f aca="false">MIN(1,Assumptions!$C$13+(1-Assumptions!$C$13)*(A56-1)/Assumptions!$C$14)</f>
        <v>1</v>
      </c>
      <c r="H56" s="33" t="n">
        <f aca="false">F56*Assumptions!$C$12*G56</f>
        <v>1.5</v>
      </c>
      <c r="I56" s="33" t="n">
        <f aca="false">Assumptions!$C$15*(Q55+R55+T55+U55)</f>
        <v>0.0974703278699001</v>
      </c>
      <c r="J56" s="33" t="n">
        <f aca="false">H56+I56</f>
        <v>1.5974703278699</v>
      </c>
      <c r="K56" s="33" t="n">
        <f aca="false">J56*Assumptions!$C$18</f>
        <v>0</v>
      </c>
      <c r="L56" s="33" t="n">
        <f aca="false">(J56-K56)*Assumptions!$C$17</f>
        <v>1.11822922950893</v>
      </c>
      <c r="M56" s="33" t="n">
        <f aca="false">J56-K56-L56</f>
        <v>0.47924109836097</v>
      </c>
      <c r="N56" s="33" t="n">
        <f aca="false">L56*Assumptions!$C$19</f>
        <v>0.16773438442634</v>
      </c>
      <c r="O56" s="33" t="n">
        <f aca="false">L56-N56</f>
        <v>0.950494845082591</v>
      </c>
      <c r="P56" s="33" t="n">
        <f aca="false">O44*(1-Assumptions!$C$20)^12</f>
        <v>0.740381499007904</v>
      </c>
      <c r="Q56" s="33" t="n">
        <f aca="false">Q55*(1-Assumptions!$C$20)+O56-P56</f>
        <v>10.2018491249689</v>
      </c>
      <c r="R56" s="33" t="n">
        <f aca="false">R55*(1-Assumptions!$C$22)+P56*(1-Assumptions!$C$21)</f>
        <v>7.97630272368915</v>
      </c>
      <c r="S56" s="33" t="n">
        <f aca="false">Q56+R56</f>
        <v>18.178151848658</v>
      </c>
      <c r="T56" s="33" t="n">
        <f aca="false">T55*(1-Assumptions!$C$24)+M56*Assumptions!$C$23</f>
        <v>1.45682999477227</v>
      </c>
      <c r="U56" s="33" t="n">
        <f aca="false">U55*(1-Assumptions!$C$25)+K56</f>
        <v>0</v>
      </c>
      <c r="V56" s="33" t="n">
        <f aca="false">V55+M56</f>
        <v>20.4892566165694</v>
      </c>
      <c r="W56" s="33" t="n">
        <f aca="false">N56+Q55*Assumptions!$C$20+P56*Assumptions!$C$21+R55*Assumptions!$C$22+T55*Assumptions!$C$24+U55*Assumptions!$C$25</f>
        <v>1.07316117973084</v>
      </c>
      <c r="X56" s="33" t="n">
        <f aca="false">IF(A56&lt;Assumptions!$C$34,0,Assumptions!$C$36*MIN(1,(A56-Assumptions!$C$34+1)/Assumptions!$C$35))*(S56+T56)</f>
        <v>1.96349818434303</v>
      </c>
      <c r="Y56" s="31" t="n">
        <f aca="false">IF(Y55&gt;0,Y55,IF(AND(A56&gt;=Assumptions!$C$41,Q55+R55+T55&gt;=Assumptions!$C$40),A56,0))</f>
        <v>0</v>
      </c>
      <c r="Z56" s="33" t="n">
        <f aca="false">IF(Y56&gt;0,Assumptions!$C$42*MIN(1,(A56-Y56+1)/Assumptions!$C$43),0)*(S56+T56)</f>
        <v>0</v>
      </c>
      <c r="AA56" s="35" t="n">
        <f aca="false">(1+Assumptions!$C$32)^(C56-1)</f>
        <v>1</v>
      </c>
      <c r="AB56" s="36" t="n">
        <f aca="false">O56*Assumptions!$C$27*AA56</f>
        <v>94.0989896631765</v>
      </c>
      <c r="AC56" s="36" t="n">
        <f aca="false">(Q55+R55)*Assumptions!$C$28*AA56</f>
        <v>1786.57504955284</v>
      </c>
      <c r="AD56" s="36" t="n">
        <f aca="false">M56*Assumptions!$C$29*AA56</f>
        <v>239.141308082124</v>
      </c>
      <c r="AE56" s="36" t="n">
        <f aca="false">T55*Assumptions!$C$30*AA56</f>
        <v>114.380383226496</v>
      </c>
      <c r="AF56" s="36" t="n">
        <f aca="false">U55*Assumptions!$C$31*AA56</f>
        <v>0</v>
      </c>
      <c r="AG56" s="36" t="n">
        <f aca="false">X56*Assumptions!$C$37*Assumptions!$C$38</f>
        <v>98.1749092171515</v>
      </c>
      <c r="AH56" s="36" t="n">
        <f aca="false">Z56*Assumptions!$C$44*Assumptions!$C$45</f>
        <v>0</v>
      </c>
      <c r="AI56" s="36" t="n">
        <f aca="false">SUM(AB56:AH56)</f>
        <v>2332.37063974179</v>
      </c>
      <c r="AJ56" s="36" t="n">
        <f aca="false">(S56*Assumptions!$C$28+T56*Assumptions!$C$30+U56*Assumptions!$C$31)*AA56+AG56+AH56</f>
        <v>2012.90151182131</v>
      </c>
      <c r="AK56" s="36" t="n">
        <f aca="false">(AI56-AH56)*Assumptions!$C$49</f>
        <v>93.2948255896717</v>
      </c>
      <c r="AL56" s="36" t="n">
        <f aca="false">(AC56+AE56+AF56)*Assumptions!$C$50</f>
        <v>13.3066880294554</v>
      </c>
      <c r="AM56" s="36" t="n">
        <f aca="false">S56*Assumptions!$C$51+M56*Assumptions!$C$52</f>
        <v>29.9113062862371</v>
      </c>
      <c r="AN56" s="36" t="n">
        <f aca="false">Assumptions!$C$53+Assumptions!$C$54*(S56+T56+U56)</f>
        <v>278.539927373721</v>
      </c>
      <c r="AO56" s="36" t="n">
        <f aca="false">IF(C56&gt;=2,Assumptions!$C$55,0)</f>
        <v>100</v>
      </c>
      <c r="AP56" s="33" t="n">
        <f aca="false">E56*Assumptions!$C$60/60+F56*Assumptions!$C$61+J56*Assumptions!$C$62+(S56+T56)*Assumptions!$C$63+X56*Assumptions!$C$64+Z56*Assumptions!$C$65+U56*Assumptions!$C$66+Assumptions!$C$67*52/12</f>
        <v>93.3409552803182</v>
      </c>
      <c r="AQ56" s="33" t="n">
        <f aca="false">IF(BC55=1,Assumptions!$C$69,Assumptions!$C$68)*52/12</f>
        <v>78</v>
      </c>
      <c r="AR56" s="33" t="n">
        <f aca="false">MAX(0,AP56-AQ56)</f>
        <v>15.3409552803182</v>
      </c>
      <c r="AS56" s="36" t="n">
        <f aca="false">AR56*Assumptions!$C$70*Assumptions!$C$71</f>
        <v>199.432418644136</v>
      </c>
      <c r="AT56" s="36" t="n">
        <f aca="false">Assumptions!$C$56/12</f>
        <v>100</v>
      </c>
      <c r="AU56" s="36" t="n">
        <f aca="false">IF(A56=1,Assumptions!$C$57,0)+Assumptions!$C$58</f>
        <v>60</v>
      </c>
      <c r="AV56" s="36" t="n">
        <f aca="false">IF(AND(Y56&gt;0,Y56=A56),Assumptions!$C$46,0)+IF(Y56&gt;0,Assumptions!$C$47,0)</f>
        <v>0</v>
      </c>
      <c r="AW56" s="36" t="n">
        <f aca="false">AK56+AL56+AM56+AN56+AO56+AS56+AT56+AU56+AV56</f>
        <v>874.485165923222</v>
      </c>
      <c r="AX56" s="36" t="n">
        <f aca="false">AI56-AW56</f>
        <v>1457.88547381857</v>
      </c>
      <c r="AY56" s="36" t="n">
        <f aca="false">MAX(0,AX56)*Assumptions!$C$73</f>
        <v>437.365642145571</v>
      </c>
      <c r="AZ56" s="36" t="n">
        <f aca="false">AX56-AY56</f>
        <v>1020.519831673</v>
      </c>
      <c r="BA56" s="36" t="n">
        <f aca="false">BA55+AZ56</f>
        <v>28087.9056291488</v>
      </c>
      <c r="BB56" s="31" t="n">
        <f aca="false">IF(AZ56&gt;=Assumptions!$C$74/12,BB55+1,0)</f>
        <v>0</v>
      </c>
      <c r="BC56" s="31" t="n">
        <f aca="false">IF(OR(BC55=1,BB56&gt;=3),1,0)</f>
        <v>0</v>
      </c>
      <c r="BD56" s="31" t="n">
        <f aca="false">IF(AZ56&gt;=Assumptions!$C$75/12,BD55+1,0)</f>
        <v>0</v>
      </c>
      <c r="BE56" s="33" t="n">
        <f aca="false">AP56*12/52</f>
        <v>21.5402204493042</v>
      </c>
      <c r="BF56" s="33" t="n">
        <f aca="false">AR56*12/52</f>
        <v>3.54022044930419</v>
      </c>
      <c r="BG56" s="31" t="n">
        <f aca="false">IF(AX56&gt;0,A56,999)</f>
        <v>52</v>
      </c>
      <c r="BH56" s="31" t="n">
        <f aca="false">IF(BB56&gt;=3,A56,999)</f>
        <v>999</v>
      </c>
      <c r="BI56" s="31" t="n">
        <f aca="false">IF(BD56&gt;=3,A56,999)</f>
        <v>999</v>
      </c>
    </row>
    <row r="57" customFormat="false" ht="15" hidden="false" customHeight="false" outlineLevel="0" collapsed="false">
      <c r="A57" s="31" t="n">
        <v>53</v>
      </c>
      <c r="B57" s="32" t="n">
        <f aca="false">DATE(2026,10+A57,1)</f>
        <v>47908</v>
      </c>
      <c r="C57" s="31" t="n">
        <f aca="false">INT((A57-1)/12)+1</f>
        <v>5</v>
      </c>
      <c r="D57" s="31" t="n">
        <f aca="false">IF(C57=1,Assumptions!$C$7,IF(C57=2,Assumptions!$C$8,Assumptions!$C$9))</f>
        <v>15</v>
      </c>
      <c r="E57" s="31" t="n">
        <f aca="false">D57*Assumptions!$C$10</f>
        <v>300</v>
      </c>
      <c r="F57" s="33" t="n">
        <f aca="false">E57*Assumptions!$C$11</f>
        <v>15</v>
      </c>
      <c r="G57" s="34" t="n">
        <f aca="false">MIN(1,Assumptions!$C$13+(1-Assumptions!$C$13)*(A57-1)/Assumptions!$C$14)</f>
        <v>1</v>
      </c>
      <c r="H57" s="33" t="n">
        <f aca="false">F57*Assumptions!$C$12*G57</f>
        <v>1.5</v>
      </c>
      <c r="I57" s="33" t="n">
        <f aca="false">Assumptions!$C$15*(Q56+R56+T56+U56)</f>
        <v>0.0981749092171515</v>
      </c>
      <c r="J57" s="33" t="n">
        <f aca="false">H57+I57</f>
        <v>1.59817490921715</v>
      </c>
      <c r="K57" s="33" t="n">
        <f aca="false">J57*Assumptions!$C$18</f>
        <v>0</v>
      </c>
      <c r="L57" s="33" t="n">
        <f aca="false">(J57-K57)*Assumptions!$C$17</f>
        <v>1.11872243645201</v>
      </c>
      <c r="M57" s="33" t="n">
        <f aca="false">J57-K57-L57</f>
        <v>0.479452472765145</v>
      </c>
      <c r="N57" s="33" t="n">
        <f aca="false">L57*Assumptions!$C$19</f>
        <v>0.167808365467801</v>
      </c>
      <c r="O57" s="33" t="n">
        <f aca="false">L57-N57</f>
        <v>0.950914070984205</v>
      </c>
      <c r="P57" s="33" t="n">
        <f aca="false">O45*(1-Assumptions!$C$20)^12</f>
        <v>0.740970374887175</v>
      </c>
      <c r="Q57" s="33" t="n">
        <f aca="false">Q56*(1-Assumptions!$C$20)+O57-P57</f>
        <v>10.2077558385665</v>
      </c>
      <c r="R57" s="33" t="n">
        <f aca="false">R56*(1-Assumptions!$C$22)+P57*(1-Assumptions!$C$21)</f>
        <v>8.09616684992571</v>
      </c>
      <c r="S57" s="33" t="n">
        <f aca="false">Q57+R57</f>
        <v>18.3039226884923</v>
      </c>
      <c r="T57" s="33" t="n">
        <f aca="false">T56*(1-Assumptions!$C$24)+M57*Assumptions!$C$23</f>
        <v>1.46531068963896</v>
      </c>
      <c r="U57" s="33" t="n">
        <f aca="false">U56*(1-Assumptions!$C$25)+K57</f>
        <v>0</v>
      </c>
      <c r="V57" s="33" t="n">
        <f aca="false">V56+M57</f>
        <v>20.9687090893346</v>
      </c>
      <c r="W57" s="33" t="n">
        <f aca="false">N57+Q56*Assumptions!$C$20+P57*Assumptions!$C$21+R56*Assumptions!$C$22+T56*Assumptions!$C$24+U56*Assumptions!$C$25</f>
        <v>1.08036139630412</v>
      </c>
      <c r="X57" s="33" t="n">
        <f aca="false">IF(A57&lt;Assumptions!$C$34,0,Assumptions!$C$36*MIN(1,(A57-Assumptions!$C$34+1)/Assumptions!$C$35))*(S57+T57)</f>
        <v>1.97692333781312</v>
      </c>
      <c r="Y57" s="31" t="n">
        <f aca="false">IF(Y56&gt;0,Y56,IF(AND(A57&gt;=Assumptions!$C$41,Q56+R56+T56&gt;=Assumptions!$C$40),A57,0))</f>
        <v>0</v>
      </c>
      <c r="Z57" s="33" t="n">
        <f aca="false">IF(Y57&gt;0,Assumptions!$C$42*MIN(1,(A57-Y57+1)/Assumptions!$C$43),0)*(S57+T57)</f>
        <v>0</v>
      </c>
      <c r="AA57" s="35" t="n">
        <f aca="false">(1+Assumptions!$C$32)^(C57-1)</f>
        <v>1</v>
      </c>
      <c r="AB57" s="36" t="n">
        <f aca="false">O57*Assumptions!$C$27*AA57</f>
        <v>94.1404930274363</v>
      </c>
      <c r="AC57" s="36" t="n">
        <f aca="false">(Q56+R56)*Assumptions!$C$28*AA57</f>
        <v>1799.63703301715</v>
      </c>
      <c r="AD57" s="36" t="n">
        <f aca="false">M57*Assumptions!$C$29*AA57</f>
        <v>239.246783909808</v>
      </c>
      <c r="AE57" s="36" t="n">
        <f aca="false">T56*Assumptions!$C$30*AA57</f>
        <v>115.089569587009</v>
      </c>
      <c r="AF57" s="36" t="n">
        <f aca="false">U56*Assumptions!$C$31*AA57</f>
        <v>0</v>
      </c>
      <c r="AG57" s="36" t="n">
        <f aca="false">X57*Assumptions!$C$37*Assumptions!$C$38</f>
        <v>98.8461668906561</v>
      </c>
      <c r="AH57" s="36" t="n">
        <f aca="false">Z57*Assumptions!$C$44*Assumptions!$C$45</f>
        <v>0</v>
      </c>
      <c r="AI57" s="36" t="n">
        <f aca="false">SUM(AB57:AH57)</f>
        <v>2346.96004643205</v>
      </c>
      <c r="AJ57" s="36" t="n">
        <f aca="false">(S57*Assumptions!$C$28+T57*Assumptions!$C$30+U57*Assumptions!$C$31)*AA57+AG57+AH57</f>
        <v>2026.69405753287</v>
      </c>
      <c r="AK57" s="36" t="n">
        <f aca="false">(AI57-AH57)*Assumptions!$C$49</f>
        <v>93.8784018572822</v>
      </c>
      <c r="AL57" s="36" t="n">
        <f aca="false">(AC57+AE57+AF57)*Assumptions!$C$50</f>
        <v>13.4030862182291</v>
      </c>
      <c r="AM57" s="36" t="n">
        <f aca="false">S57*Assumptions!$C$51+M57*Assumptions!$C$52</f>
        <v>30.0716904520925</v>
      </c>
      <c r="AN57" s="36" t="n">
        <f aca="false">Assumptions!$C$53+Assumptions!$C$54*(S57+T57+U57)</f>
        <v>279.076933512525</v>
      </c>
      <c r="AO57" s="36" t="n">
        <f aca="false">IF(C57&gt;=2,Assumptions!$C$55,0)</f>
        <v>100</v>
      </c>
      <c r="AP57" s="33" t="n">
        <f aca="false">E57*Assumptions!$C$60/60+F57*Assumptions!$C$61+J57*Assumptions!$C$62+(S57+T57)*Assumptions!$C$63+X57*Assumptions!$C$64+Z57*Assumptions!$C$65+U57*Assumptions!$C$66+Assumptions!$C$67*52/12</f>
        <v>93.6317098239669</v>
      </c>
      <c r="AQ57" s="33" t="n">
        <f aca="false">IF(BC56=1,Assumptions!$C$69,Assumptions!$C$68)*52/12</f>
        <v>78</v>
      </c>
      <c r="AR57" s="33" t="n">
        <f aca="false">MAX(0,AP57-AQ57)</f>
        <v>15.6317098239669</v>
      </c>
      <c r="AS57" s="36" t="n">
        <f aca="false">AR57*Assumptions!$C$70*Assumptions!$C$71</f>
        <v>203.21222771157</v>
      </c>
      <c r="AT57" s="36" t="n">
        <f aca="false">Assumptions!$C$56/12</f>
        <v>100</v>
      </c>
      <c r="AU57" s="36" t="n">
        <f aca="false">IF(A57=1,Assumptions!$C$57,0)+Assumptions!$C$58</f>
        <v>60</v>
      </c>
      <c r="AV57" s="36" t="n">
        <f aca="false">IF(AND(Y57&gt;0,Y57=A57),Assumptions!$C$46,0)+IF(Y57&gt;0,Assumptions!$C$47,0)</f>
        <v>0</v>
      </c>
      <c r="AW57" s="36" t="n">
        <f aca="false">AK57+AL57+AM57+AN57+AO57+AS57+AT57+AU57+AV57</f>
        <v>879.642339751698</v>
      </c>
      <c r="AX57" s="36" t="n">
        <f aca="false">AI57-AW57</f>
        <v>1467.31770668036</v>
      </c>
      <c r="AY57" s="36" t="n">
        <f aca="false">MAX(0,AX57)*Assumptions!$C$73</f>
        <v>440.195312004107</v>
      </c>
      <c r="AZ57" s="36" t="n">
        <f aca="false">AX57-AY57</f>
        <v>1027.12239467625</v>
      </c>
      <c r="BA57" s="36" t="n">
        <f aca="false">BA56+AZ57</f>
        <v>29115.028023825</v>
      </c>
      <c r="BB57" s="31" t="n">
        <f aca="false">IF(AZ57&gt;=Assumptions!$C$74/12,BB56+1,0)</f>
        <v>0</v>
      </c>
      <c r="BC57" s="31" t="n">
        <f aca="false">IF(OR(BC56=1,BB57&gt;=3),1,0)</f>
        <v>0</v>
      </c>
      <c r="BD57" s="31" t="n">
        <f aca="false">IF(AZ57&gt;=Assumptions!$C$75/12,BD56+1,0)</f>
        <v>0</v>
      </c>
      <c r="BE57" s="33" t="n">
        <f aca="false">AP57*12/52</f>
        <v>21.6073176516847</v>
      </c>
      <c r="BF57" s="33" t="n">
        <f aca="false">AR57*12/52</f>
        <v>3.60731765168467</v>
      </c>
      <c r="BG57" s="31" t="n">
        <f aca="false">IF(AX57&gt;0,A57,999)</f>
        <v>53</v>
      </c>
      <c r="BH57" s="31" t="n">
        <f aca="false">IF(BB57&gt;=3,A57,999)</f>
        <v>999</v>
      </c>
      <c r="BI57" s="31" t="n">
        <f aca="false">IF(BD57&gt;=3,A57,999)</f>
        <v>999</v>
      </c>
    </row>
    <row r="58" customFormat="false" ht="15" hidden="false" customHeight="false" outlineLevel="0" collapsed="false">
      <c r="A58" s="31" t="n">
        <v>54</v>
      </c>
      <c r="B58" s="32" t="n">
        <f aca="false">DATE(2026,10+A58,1)</f>
        <v>47939</v>
      </c>
      <c r="C58" s="31" t="n">
        <f aca="false">INT((A58-1)/12)+1</f>
        <v>5</v>
      </c>
      <c r="D58" s="31" t="n">
        <f aca="false">IF(C58=1,Assumptions!$C$7,IF(C58=2,Assumptions!$C$8,Assumptions!$C$9))</f>
        <v>15</v>
      </c>
      <c r="E58" s="31" t="n">
        <f aca="false">D58*Assumptions!$C$10</f>
        <v>300</v>
      </c>
      <c r="F58" s="33" t="n">
        <f aca="false">E58*Assumptions!$C$11</f>
        <v>15</v>
      </c>
      <c r="G58" s="34" t="n">
        <f aca="false">MIN(1,Assumptions!$C$13+(1-Assumptions!$C$13)*(A58-1)/Assumptions!$C$14)</f>
        <v>1</v>
      </c>
      <c r="H58" s="33" t="n">
        <f aca="false">F58*Assumptions!$C$12*G58</f>
        <v>1.5</v>
      </c>
      <c r="I58" s="33" t="n">
        <f aca="false">Assumptions!$C$15*(Q57+R57+T57+U57)</f>
        <v>0.0988461668906561</v>
      </c>
      <c r="J58" s="33" t="n">
        <f aca="false">H58+I58</f>
        <v>1.59884616689066</v>
      </c>
      <c r="K58" s="33" t="n">
        <f aca="false">J58*Assumptions!$C$18</f>
        <v>0</v>
      </c>
      <c r="L58" s="33" t="n">
        <f aca="false">(J58-K58)*Assumptions!$C$17</f>
        <v>1.11919231682346</v>
      </c>
      <c r="M58" s="33" t="n">
        <f aca="false">J58-K58-L58</f>
        <v>0.479653850067197</v>
      </c>
      <c r="N58" s="33" t="n">
        <f aca="false">L58*Assumptions!$C$19</f>
        <v>0.167878847523519</v>
      </c>
      <c r="O58" s="33" t="n">
        <f aca="false">L58-N58</f>
        <v>0.95131346929994</v>
      </c>
      <c r="P58" s="33" t="n">
        <f aca="false">O46*(1-Assumptions!$C$20)^12</f>
        <v>0.741531384731115</v>
      </c>
      <c r="Q58" s="33" t="n">
        <f aca="false">Q57*(1-Assumptions!$C$20)+O58-P58</f>
        <v>10.213382806364</v>
      </c>
      <c r="R58" s="33" t="n">
        <f aca="false">R57*(1-Assumptions!$C$22)+P58*(1-Assumptions!$C$21)</f>
        <v>8.21043047674121</v>
      </c>
      <c r="S58" s="33" t="n">
        <f aca="false">Q58+R58</f>
        <v>18.4238132831052</v>
      </c>
      <c r="T58" s="33" t="n">
        <f aca="false">T57*(1-Assumptions!$C$24)+M58*Assumptions!$C$23</f>
        <v>1.47332281827406</v>
      </c>
      <c r="U58" s="33" t="n">
        <f aca="false">U57*(1-Assumptions!$C$25)+K58</f>
        <v>0</v>
      </c>
      <c r="V58" s="33" t="n">
        <f aca="false">V57+M58</f>
        <v>21.4483629394018</v>
      </c>
      <c r="W58" s="33" t="n">
        <f aca="false">N58+Q57*Assumptions!$C$20+P58*Assumptions!$C$21+R57*Assumptions!$C$22+T57*Assumptions!$C$24+U57*Assumptions!$C$25</f>
        <v>1.08722036358881</v>
      </c>
      <c r="X58" s="33" t="n">
        <f aca="false">IF(A58&lt;Assumptions!$C$34,0,Assumptions!$C$36*MIN(1,(A58-Assumptions!$C$34+1)/Assumptions!$C$35))*(S58+T58)</f>
        <v>1.98971361013793</v>
      </c>
      <c r="Y58" s="31" t="n">
        <f aca="false">IF(Y57&gt;0,Y57,IF(AND(A58&gt;=Assumptions!$C$41,Q57+R57+T57&gt;=Assumptions!$C$40),A58,0))</f>
        <v>0</v>
      </c>
      <c r="Z58" s="33" t="n">
        <f aca="false">IF(Y58&gt;0,Assumptions!$C$42*MIN(1,(A58-Y58+1)/Assumptions!$C$43),0)*(S58+T58)</f>
        <v>0</v>
      </c>
      <c r="AA58" s="35" t="n">
        <f aca="false">(1+Assumptions!$C$32)^(C58-1)</f>
        <v>1</v>
      </c>
      <c r="AB58" s="36" t="n">
        <f aca="false">O58*Assumptions!$C$27*AA58</f>
        <v>94.1800334606941</v>
      </c>
      <c r="AC58" s="36" t="n">
        <f aca="false">(Q57+R57)*Assumptions!$C$28*AA58</f>
        <v>1812.08834616073</v>
      </c>
      <c r="AD58" s="36" t="n">
        <f aca="false">M58*Assumptions!$C$29*AA58</f>
        <v>239.347271183531</v>
      </c>
      <c r="AE58" s="36" t="n">
        <f aca="false">T57*Assumptions!$C$30*AA58</f>
        <v>115.759544481478</v>
      </c>
      <c r="AF58" s="36" t="n">
        <f aca="false">U57*Assumptions!$C$31*AA58</f>
        <v>0</v>
      </c>
      <c r="AG58" s="36" t="n">
        <f aca="false">X58*Assumptions!$C$37*Assumptions!$C$38</f>
        <v>99.4856805068965</v>
      </c>
      <c r="AH58" s="36" t="n">
        <f aca="false">Z58*Assumptions!$C$44*Assumptions!$C$45</f>
        <v>0</v>
      </c>
      <c r="AI58" s="36" t="n">
        <f aca="false">SUM(AB58:AH58)</f>
        <v>2360.86087579333</v>
      </c>
      <c r="AJ58" s="36" t="n">
        <f aca="false">(S58*Assumptions!$C$28+T58*Assumptions!$C$30+U58*Assumptions!$C$31)*AA58+AG58+AH58</f>
        <v>2039.83569817797</v>
      </c>
      <c r="AK58" s="36" t="n">
        <f aca="false">(AI58-AH58)*Assumptions!$C$49</f>
        <v>94.4344350317333</v>
      </c>
      <c r="AL58" s="36" t="n">
        <f aca="false">(AC58+AE58+AF58)*Assumptions!$C$50</f>
        <v>13.4949352344955</v>
      </c>
      <c r="AM58" s="36" t="n">
        <f aca="false">S58*Assumptions!$C$51+M58*Assumptions!$C$52</f>
        <v>30.2245743548895</v>
      </c>
      <c r="AN58" s="36" t="n">
        <f aca="false">Assumptions!$C$53+Assumptions!$C$54*(S58+T58+U58)</f>
        <v>279.588544405517</v>
      </c>
      <c r="AO58" s="36" t="n">
        <f aca="false">IF(C58&gt;=2,Assumptions!$C$55,0)</f>
        <v>100</v>
      </c>
      <c r="AP58" s="33" t="n">
        <f aca="false">E58*Assumptions!$C$60/60+F58*Assumptions!$C$61+J58*Assumptions!$C$62+(S58+T58)*Assumptions!$C$63+X58*Assumptions!$C$64+Z58*Assumptions!$C$65+U58*Assumptions!$C$66+Assumptions!$C$67*52/12</f>
        <v>93.9087144519708</v>
      </c>
      <c r="AQ58" s="33" t="n">
        <f aca="false">IF(BC57=1,Assumptions!$C$69,Assumptions!$C$68)*52/12</f>
        <v>78</v>
      </c>
      <c r="AR58" s="33" t="n">
        <f aca="false">MAX(0,AP58-AQ58)</f>
        <v>15.9087144519708</v>
      </c>
      <c r="AS58" s="36" t="n">
        <f aca="false">AR58*Assumptions!$C$70*Assumptions!$C$71</f>
        <v>206.81328787562</v>
      </c>
      <c r="AT58" s="36" t="n">
        <f aca="false">Assumptions!$C$56/12</f>
        <v>100</v>
      </c>
      <c r="AU58" s="36" t="n">
        <f aca="false">IF(A58=1,Assumptions!$C$57,0)+Assumptions!$C$58</f>
        <v>60</v>
      </c>
      <c r="AV58" s="36" t="n">
        <f aca="false">IF(AND(Y58&gt;0,Y58=A58),Assumptions!$C$46,0)+IF(Y58&gt;0,Assumptions!$C$47,0)</f>
        <v>0</v>
      </c>
      <c r="AW58" s="36" t="n">
        <f aca="false">AK58+AL58+AM58+AN58+AO58+AS58+AT58+AU58+AV58</f>
        <v>884.555776902256</v>
      </c>
      <c r="AX58" s="36" t="n">
        <f aca="false">AI58-AW58</f>
        <v>1476.30509889108</v>
      </c>
      <c r="AY58" s="36" t="n">
        <f aca="false">MAX(0,AX58)*Assumptions!$C$73</f>
        <v>442.891529667323</v>
      </c>
      <c r="AZ58" s="36" t="n">
        <f aca="false">AX58-AY58</f>
        <v>1033.41356922375</v>
      </c>
      <c r="BA58" s="36" t="n">
        <f aca="false">BA57+AZ58</f>
        <v>30148.4415930488</v>
      </c>
      <c r="BB58" s="31" t="n">
        <f aca="false">IF(AZ58&gt;=Assumptions!$C$74/12,BB57+1,0)</f>
        <v>0</v>
      </c>
      <c r="BC58" s="31" t="n">
        <f aca="false">IF(OR(BC57=1,BB58&gt;=3),1,0)</f>
        <v>0</v>
      </c>
      <c r="BD58" s="31" t="n">
        <f aca="false">IF(AZ58&gt;=Assumptions!$C$75/12,BD57+1,0)</f>
        <v>0</v>
      </c>
      <c r="BE58" s="33" t="n">
        <f aca="false">AP58*12/52</f>
        <v>21.6712417966086</v>
      </c>
      <c r="BF58" s="33" t="n">
        <f aca="false">AR58*12/52</f>
        <v>3.67124179660865</v>
      </c>
      <c r="BG58" s="31" t="n">
        <f aca="false">IF(AX58&gt;0,A58,999)</f>
        <v>54</v>
      </c>
      <c r="BH58" s="31" t="n">
        <f aca="false">IF(BB58&gt;=3,A58,999)</f>
        <v>999</v>
      </c>
      <c r="BI58" s="31" t="n">
        <f aca="false">IF(BD58&gt;=3,A58,999)</f>
        <v>999</v>
      </c>
    </row>
    <row r="59" customFormat="false" ht="15" hidden="false" customHeight="false" outlineLevel="0" collapsed="false">
      <c r="A59" s="31" t="n">
        <v>55</v>
      </c>
      <c r="B59" s="32" t="n">
        <f aca="false">DATE(2026,10+A59,1)</f>
        <v>47969</v>
      </c>
      <c r="C59" s="31" t="n">
        <f aca="false">INT((A59-1)/12)+1</f>
        <v>5</v>
      </c>
      <c r="D59" s="31" t="n">
        <f aca="false">IF(C59=1,Assumptions!$C$7,IF(C59=2,Assumptions!$C$8,Assumptions!$C$9))</f>
        <v>15</v>
      </c>
      <c r="E59" s="31" t="n">
        <f aca="false">D59*Assumptions!$C$10</f>
        <v>300</v>
      </c>
      <c r="F59" s="33" t="n">
        <f aca="false">E59*Assumptions!$C$11</f>
        <v>15</v>
      </c>
      <c r="G59" s="34" t="n">
        <f aca="false">MIN(1,Assumptions!$C$13+(1-Assumptions!$C$13)*(A59-1)/Assumptions!$C$14)</f>
        <v>1</v>
      </c>
      <c r="H59" s="33" t="n">
        <f aca="false">F59*Assumptions!$C$12*G59</f>
        <v>1.5</v>
      </c>
      <c r="I59" s="33" t="n">
        <f aca="false">Assumptions!$C$15*(Q58+R58+T58+U58)</f>
        <v>0.0994856805068965</v>
      </c>
      <c r="J59" s="33" t="n">
        <f aca="false">H59+I59</f>
        <v>1.5994856805069</v>
      </c>
      <c r="K59" s="33" t="n">
        <f aca="false">J59*Assumptions!$C$18</f>
        <v>0</v>
      </c>
      <c r="L59" s="33" t="n">
        <f aca="false">(J59-K59)*Assumptions!$C$17</f>
        <v>1.11963997635483</v>
      </c>
      <c r="M59" s="33" t="n">
        <f aca="false">J59-K59-L59</f>
        <v>0.479845704152069</v>
      </c>
      <c r="N59" s="33" t="n">
        <f aca="false">L59*Assumptions!$C$19</f>
        <v>0.167945996453224</v>
      </c>
      <c r="O59" s="33" t="n">
        <f aca="false">L59-N59</f>
        <v>0.951693979901603</v>
      </c>
      <c r="P59" s="33" t="n">
        <f aca="false">O47*(1-Assumptions!$C$20)^12</f>
        <v>0.742065841918719</v>
      </c>
      <c r="Q59" s="33" t="n">
        <f aca="false">Q58*(1-Assumptions!$C$20)+O59-P59</f>
        <v>10.2187432882196</v>
      </c>
      <c r="R59" s="33" t="n">
        <f aca="false">R58*(1-Assumptions!$C$22)+P59*(1-Assumptions!$C$21)</f>
        <v>8.31935504224725</v>
      </c>
      <c r="S59" s="33" t="n">
        <f aca="false">Q59+R59</f>
        <v>18.5380983304669</v>
      </c>
      <c r="T59" s="33" t="n">
        <f aca="false">T58*(1-Assumptions!$C$24)+M59*Assumptions!$C$23</f>
        <v>1.48089259000803</v>
      </c>
      <c r="U59" s="33" t="n">
        <f aca="false">U58*(1-Assumptions!$C$25)+K59</f>
        <v>0</v>
      </c>
      <c r="V59" s="33" t="n">
        <f aca="false">V58+M59</f>
        <v>21.9282086435538</v>
      </c>
      <c r="W59" s="33" t="n">
        <f aca="false">N59+Q58*Assumptions!$C$20+P59*Assumptions!$C$21+R58*Assumptions!$C$22+T58*Assumptions!$C$24+U58*Assumptions!$C$25</f>
        <v>1.09375429808962</v>
      </c>
      <c r="X59" s="33" t="n">
        <f aca="false">IF(A59&lt;Assumptions!$C$34,0,Assumptions!$C$36*MIN(1,(A59-Assumptions!$C$34+1)/Assumptions!$C$35))*(S59+T59)</f>
        <v>2.00189909204749</v>
      </c>
      <c r="Y59" s="31" t="n">
        <f aca="false">IF(Y58&gt;0,Y58,IF(AND(A59&gt;=Assumptions!$C$41,Q58+R58+T58&gt;=Assumptions!$C$40),A59,0))</f>
        <v>0</v>
      </c>
      <c r="Z59" s="33" t="n">
        <f aca="false">IF(Y59&gt;0,Assumptions!$C$42*MIN(1,(A59-Y59+1)/Assumptions!$C$43),0)*(S59+T59)</f>
        <v>0</v>
      </c>
      <c r="AA59" s="35" t="n">
        <f aca="false">(1+Assumptions!$C$32)^(C59-1)</f>
        <v>1</v>
      </c>
      <c r="AB59" s="36" t="n">
        <f aca="false">O59*Assumptions!$C$27*AA59</f>
        <v>94.2177040102587</v>
      </c>
      <c r="AC59" s="36" t="n">
        <f aca="false">(Q58+R58)*Assumptions!$C$28*AA59</f>
        <v>1823.95751502742</v>
      </c>
      <c r="AD59" s="36" t="n">
        <f aca="false">M59*Assumptions!$C$29*AA59</f>
        <v>239.443006371882</v>
      </c>
      <c r="AE59" s="36" t="n">
        <f aca="false">T58*Assumptions!$C$30*AA59</f>
        <v>116.392502643651</v>
      </c>
      <c r="AF59" s="36" t="n">
        <f aca="false">U58*Assumptions!$C$31*AA59</f>
        <v>0</v>
      </c>
      <c r="AG59" s="36" t="n">
        <f aca="false">X59*Assumptions!$C$37*Assumptions!$C$38</f>
        <v>100.094954602375</v>
      </c>
      <c r="AH59" s="36" t="n">
        <f aca="false">Z59*Assumptions!$C$44*Assumptions!$C$45</f>
        <v>0</v>
      </c>
      <c r="AI59" s="36" t="n">
        <f aca="false">SUM(AB59:AH59)</f>
        <v>2374.10568265559</v>
      </c>
      <c r="AJ59" s="36" t="n">
        <f aca="false">(S59*Assumptions!$C$28+T59*Assumptions!$C$30+U59*Assumptions!$C$31)*AA59+AG59+AH59</f>
        <v>2052.35720392923</v>
      </c>
      <c r="AK59" s="36" t="n">
        <f aca="false">(AI59-AH59)*Assumptions!$C$49</f>
        <v>94.9642273062234</v>
      </c>
      <c r="AL59" s="36" t="n">
        <f aca="false">(AC59+AE59+AF59)*Assumptions!$C$50</f>
        <v>13.5824501236975</v>
      </c>
      <c r="AM59" s="36" t="n">
        <f aca="false">S59*Assumptions!$C$51+M59*Assumptions!$C$52</f>
        <v>30.3703084753646</v>
      </c>
      <c r="AN59" s="36" t="n">
        <f aca="false">Assumptions!$C$53+Assumptions!$C$54*(S59+T59+U59)</f>
        <v>280.0759636819</v>
      </c>
      <c r="AO59" s="36" t="n">
        <f aca="false">IF(C59&gt;=2,Assumptions!$C$55,0)</f>
        <v>100</v>
      </c>
      <c r="AP59" s="33" t="n">
        <f aca="false">E59*Assumptions!$C$60/60+F59*Assumptions!$C$61+J59*Assumptions!$C$62+(S59+T59)*Assumptions!$C$63+X59*Assumptions!$C$64+Z59*Assumptions!$C$65+U59*Assumptions!$C$66+Assumptions!$C$67*52/12</f>
        <v>94.1726208538751</v>
      </c>
      <c r="AQ59" s="33" t="n">
        <f aca="false">IF(BC58=1,Assumptions!$C$69,Assumptions!$C$68)*52/12</f>
        <v>78</v>
      </c>
      <c r="AR59" s="33" t="n">
        <f aca="false">MAX(0,AP59-AQ59)</f>
        <v>16.1726208538751</v>
      </c>
      <c r="AS59" s="36" t="n">
        <f aca="false">AR59*Assumptions!$C$70*Assumptions!$C$71</f>
        <v>210.244071100376</v>
      </c>
      <c r="AT59" s="36" t="n">
        <f aca="false">Assumptions!$C$56/12</f>
        <v>100</v>
      </c>
      <c r="AU59" s="36" t="n">
        <f aca="false">IF(A59=1,Assumptions!$C$57,0)+Assumptions!$C$58</f>
        <v>60</v>
      </c>
      <c r="AV59" s="36" t="n">
        <f aca="false">IF(AND(Y59&gt;0,Y59=A59),Assumptions!$C$46,0)+IF(Y59&gt;0,Assumptions!$C$47,0)</f>
        <v>0</v>
      </c>
      <c r="AW59" s="36" t="n">
        <f aca="false">AK59+AL59+AM59+AN59+AO59+AS59+AT59+AU59+AV59</f>
        <v>889.237020687562</v>
      </c>
      <c r="AX59" s="36" t="n">
        <f aca="false">AI59-AW59</f>
        <v>1484.86866196802</v>
      </c>
      <c r="AY59" s="36" t="n">
        <f aca="false">MAX(0,AX59)*Assumptions!$C$73</f>
        <v>445.460598590407</v>
      </c>
      <c r="AZ59" s="36" t="n">
        <f aca="false">AX59-AY59</f>
        <v>1039.40806337762</v>
      </c>
      <c r="BA59" s="36" t="n">
        <f aca="false">BA58+AZ59</f>
        <v>31187.8496564264</v>
      </c>
      <c r="BB59" s="31" t="n">
        <f aca="false">IF(AZ59&gt;=Assumptions!$C$74/12,BB58+1,0)</f>
        <v>0</v>
      </c>
      <c r="BC59" s="31" t="n">
        <f aca="false">IF(OR(BC58=1,BB59&gt;=3),1,0)</f>
        <v>0</v>
      </c>
      <c r="BD59" s="31" t="n">
        <f aca="false">IF(AZ59&gt;=Assumptions!$C$75/12,BD58+1,0)</f>
        <v>0</v>
      </c>
      <c r="BE59" s="33" t="n">
        <f aca="false">AP59*12/52</f>
        <v>21.7321432739712</v>
      </c>
      <c r="BF59" s="33" t="n">
        <f aca="false">AR59*12/52</f>
        <v>3.73214327397118</v>
      </c>
      <c r="BG59" s="31" t="n">
        <f aca="false">IF(AX59&gt;0,A59,999)</f>
        <v>55</v>
      </c>
      <c r="BH59" s="31" t="n">
        <f aca="false">IF(BB59&gt;=3,A59,999)</f>
        <v>999</v>
      </c>
      <c r="BI59" s="31" t="n">
        <f aca="false">IF(BD59&gt;=3,A59,999)</f>
        <v>999</v>
      </c>
    </row>
    <row r="60" customFormat="false" ht="15" hidden="false" customHeight="false" outlineLevel="0" collapsed="false">
      <c r="A60" s="31" t="n">
        <v>56</v>
      </c>
      <c r="B60" s="32" t="n">
        <f aca="false">DATE(2026,10+A60,1)</f>
        <v>48000</v>
      </c>
      <c r="C60" s="31" t="n">
        <f aca="false">INT((A60-1)/12)+1</f>
        <v>5</v>
      </c>
      <c r="D60" s="31" t="n">
        <f aca="false">IF(C60=1,Assumptions!$C$7,IF(C60=2,Assumptions!$C$8,Assumptions!$C$9))</f>
        <v>15</v>
      </c>
      <c r="E60" s="31" t="n">
        <f aca="false">D60*Assumptions!$C$10</f>
        <v>300</v>
      </c>
      <c r="F60" s="33" t="n">
        <f aca="false">E60*Assumptions!$C$11</f>
        <v>15</v>
      </c>
      <c r="G60" s="34" t="n">
        <f aca="false">MIN(1,Assumptions!$C$13+(1-Assumptions!$C$13)*(A60-1)/Assumptions!$C$14)</f>
        <v>1</v>
      </c>
      <c r="H60" s="33" t="n">
        <f aca="false">F60*Assumptions!$C$12*G60</f>
        <v>1.5</v>
      </c>
      <c r="I60" s="33" t="n">
        <f aca="false">Assumptions!$C$15*(Q59+R59+T59+U59)</f>
        <v>0.100094954602375</v>
      </c>
      <c r="J60" s="33" t="n">
        <f aca="false">H60+I60</f>
        <v>1.60009495460237</v>
      </c>
      <c r="K60" s="33" t="n">
        <f aca="false">J60*Assumptions!$C$18</f>
        <v>0</v>
      </c>
      <c r="L60" s="33" t="n">
        <f aca="false">(J60-K60)*Assumptions!$C$17</f>
        <v>1.12006646822166</v>
      </c>
      <c r="M60" s="33" t="n">
        <f aca="false">J60-K60-L60</f>
        <v>0.480028486380713</v>
      </c>
      <c r="N60" s="33" t="n">
        <f aca="false">L60*Assumptions!$C$19</f>
        <v>0.168009970233249</v>
      </c>
      <c r="O60" s="33" t="n">
        <f aca="false">L60-N60</f>
        <v>0.952056497988413</v>
      </c>
      <c r="P60" s="33" t="n">
        <f aca="false">O48*(1-Assumptions!$C$20)^12</f>
        <v>0.742574997033755</v>
      </c>
      <c r="Q60" s="33" t="n">
        <f aca="false">Q59*(1-Assumptions!$C$20)+O60-P60</f>
        <v>10.2238499234099</v>
      </c>
      <c r="R60" s="33" t="n">
        <f aca="false">R59*(1-Assumptions!$C$22)+P60*(1-Assumptions!$C$21)</f>
        <v>8.42318978805851</v>
      </c>
      <c r="S60" s="33" t="n">
        <f aca="false">Q60+R60</f>
        <v>18.6470397114684</v>
      </c>
      <c r="T60" s="33" t="n">
        <f aca="false">T59*(1-Assumptions!$C$24)+M60*Assumptions!$C$23</f>
        <v>1.48804473188369</v>
      </c>
      <c r="U60" s="33" t="n">
        <f aca="false">U59*(1-Assumptions!$C$25)+K60</f>
        <v>0</v>
      </c>
      <c r="V60" s="33" t="n">
        <f aca="false">V59+M60</f>
        <v>22.4082371299345</v>
      </c>
      <c r="W60" s="33" t="n">
        <f aca="false">N60+Q59*Assumptions!$C$20+P60*Assumptions!$C$21+R59*Assumptions!$C$22+T59*Assumptions!$C$24+U59*Assumptions!$C$25</f>
        <v>1.09997864262061</v>
      </c>
      <c r="X60" s="33" t="n">
        <f aca="false">IF(A60&lt;Assumptions!$C$34,0,Assumptions!$C$36*MIN(1,(A60-Assumptions!$C$34+1)/Assumptions!$C$35))*(S60+T60)</f>
        <v>2.01350844433521</v>
      </c>
      <c r="Y60" s="31" t="n">
        <f aca="false">IF(Y59&gt;0,Y59,IF(AND(A60&gt;=Assumptions!$C$41,Q59+R59+T59&gt;=Assumptions!$C$40),A60,0))</f>
        <v>56</v>
      </c>
      <c r="Z60" s="33" t="n">
        <f aca="false">IF(Y60&gt;0,Assumptions!$C$42*MIN(1,(A60-Y60+1)/Assumptions!$C$43),0)*(S60+T60)</f>
        <v>0.167792370361268</v>
      </c>
      <c r="AA60" s="35" t="n">
        <f aca="false">(1+Assumptions!$C$32)^(C60-1)</f>
        <v>1</v>
      </c>
      <c r="AB60" s="36" t="n">
        <f aca="false">O60*Assumptions!$C$27*AA60</f>
        <v>94.2535933008529</v>
      </c>
      <c r="AC60" s="36" t="n">
        <f aca="false">(Q59+R59)*Assumptions!$C$28*AA60</f>
        <v>1835.27173471622</v>
      </c>
      <c r="AD60" s="36" t="n">
        <f aca="false">M60*Assumptions!$C$29*AA60</f>
        <v>239.534214703976</v>
      </c>
      <c r="AE60" s="36" t="n">
        <f aca="false">T59*Assumptions!$C$30*AA60</f>
        <v>116.990514610635</v>
      </c>
      <c r="AF60" s="36" t="n">
        <f aca="false">U59*Assumptions!$C$31*AA60</f>
        <v>0</v>
      </c>
      <c r="AG60" s="36" t="n">
        <f aca="false">X60*Assumptions!$C$37*Assumptions!$C$38</f>
        <v>100.675422216761</v>
      </c>
      <c r="AH60" s="36" t="n">
        <f aca="false">Z60*Assumptions!$C$44*Assumptions!$C$45</f>
        <v>3.35584740722535</v>
      </c>
      <c r="AI60" s="36" t="n">
        <f aca="false">SUM(AB60:AH60)</f>
        <v>2390.08132695567</v>
      </c>
      <c r="AJ60" s="36" t="n">
        <f aca="false">(S60*Assumptions!$C$28+T60*Assumptions!$C$30+U60*Assumptions!$C$31)*AA60+AG60+AH60</f>
        <v>2067.64373487817</v>
      </c>
      <c r="AK60" s="36" t="n">
        <f aca="false">(AI60-AH60)*Assumptions!$C$49</f>
        <v>95.4690191819378</v>
      </c>
      <c r="AL60" s="36" t="n">
        <f aca="false">(AC60+AE60+AF60)*Assumptions!$C$50</f>
        <v>13.665835745288</v>
      </c>
      <c r="AM60" s="36" t="n">
        <f aca="false">S60*Assumptions!$C$51+M60*Assumptions!$C$52</f>
        <v>30.5092269350462</v>
      </c>
      <c r="AN60" s="36" t="n">
        <f aca="false">Assumptions!$C$53+Assumptions!$C$54*(S60+T60+U60)</f>
        <v>280.540337773408</v>
      </c>
      <c r="AO60" s="36" t="n">
        <f aca="false">IF(C60&gt;=2,Assumptions!$C$55,0)</f>
        <v>100</v>
      </c>
      <c r="AP60" s="33" t="n">
        <f aca="false">E60*Assumptions!$C$60/60+F60*Assumptions!$C$61+J60*Assumptions!$C$62+(S60+T60)*Assumptions!$C$63+X60*Assumptions!$C$64+Z60*Assumptions!$C$65+U60*Assumptions!$C$66+Assumptions!$C$67*52/12</f>
        <v>94.4743874614559</v>
      </c>
      <c r="AQ60" s="33" t="n">
        <f aca="false">IF(BC59=1,Assumptions!$C$69,Assumptions!$C$68)*52/12</f>
        <v>78</v>
      </c>
      <c r="AR60" s="33" t="n">
        <f aca="false">MAX(0,AP60-AQ60)</f>
        <v>16.4743874614559</v>
      </c>
      <c r="AS60" s="36" t="n">
        <f aca="false">AR60*Assumptions!$C$70*Assumptions!$C$71</f>
        <v>214.167036998926</v>
      </c>
      <c r="AT60" s="36" t="n">
        <f aca="false">Assumptions!$C$56/12</f>
        <v>100</v>
      </c>
      <c r="AU60" s="36" t="n">
        <f aca="false">IF(A60=1,Assumptions!$C$57,0)+Assumptions!$C$58</f>
        <v>60</v>
      </c>
      <c r="AV60" s="36" t="n">
        <f aca="false">IF(AND(Y60&gt;0,Y60=A60),Assumptions!$C$46,0)+IF(Y60&gt;0,Assumptions!$C$47,0)</f>
        <v>5075</v>
      </c>
      <c r="AW60" s="36" t="n">
        <f aca="false">AK60+AL60+AM60+AN60+AO60+AS60+AT60+AU60+AV60</f>
        <v>5969.35145663461</v>
      </c>
      <c r="AX60" s="36" t="n">
        <f aca="false">AI60-AW60</f>
        <v>-3579.27012967894</v>
      </c>
      <c r="AY60" s="36" t="n">
        <f aca="false">MAX(0,AX60)*Assumptions!$C$73</f>
        <v>0</v>
      </c>
      <c r="AZ60" s="36" t="n">
        <f aca="false">AX60-AY60</f>
        <v>-3579.27012967894</v>
      </c>
      <c r="BA60" s="36" t="n">
        <f aca="false">BA59+AZ60</f>
        <v>27608.5795267475</v>
      </c>
      <c r="BB60" s="31" t="n">
        <f aca="false">IF(AZ60&gt;=Assumptions!$C$74/12,BB59+1,0)</f>
        <v>0</v>
      </c>
      <c r="BC60" s="31" t="n">
        <f aca="false">IF(OR(BC59=1,BB60&gt;=3),1,0)</f>
        <v>0</v>
      </c>
      <c r="BD60" s="31" t="n">
        <f aca="false">IF(AZ60&gt;=Assumptions!$C$75/12,BD59+1,0)</f>
        <v>0</v>
      </c>
      <c r="BE60" s="33" t="n">
        <f aca="false">AP60*12/52</f>
        <v>21.8017817218744</v>
      </c>
      <c r="BF60" s="33" t="n">
        <f aca="false">AR60*12/52</f>
        <v>3.80178172187443</v>
      </c>
      <c r="BG60" s="31" t="n">
        <f aca="false">IF(AX60&gt;0,A60,999)</f>
        <v>999</v>
      </c>
      <c r="BH60" s="31" t="n">
        <f aca="false">IF(BB60&gt;=3,A60,999)</f>
        <v>999</v>
      </c>
      <c r="BI60" s="31" t="n">
        <f aca="false">IF(BD60&gt;=3,A60,999)</f>
        <v>999</v>
      </c>
    </row>
    <row r="61" customFormat="false" ht="15" hidden="false" customHeight="false" outlineLevel="0" collapsed="false">
      <c r="A61" s="31" t="n">
        <v>57</v>
      </c>
      <c r="B61" s="32" t="n">
        <f aca="false">DATE(2026,10+A61,1)</f>
        <v>48030</v>
      </c>
      <c r="C61" s="31" t="n">
        <f aca="false">INT((A61-1)/12)+1</f>
        <v>5</v>
      </c>
      <c r="D61" s="31" t="n">
        <f aca="false">IF(C61=1,Assumptions!$C$7,IF(C61=2,Assumptions!$C$8,Assumptions!$C$9))</f>
        <v>15</v>
      </c>
      <c r="E61" s="31" t="n">
        <f aca="false">D61*Assumptions!$C$10</f>
        <v>300</v>
      </c>
      <c r="F61" s="33" t="n">
        <f aca="false">E61*Assumptions!$C$11</f>
        <v>15</v>
      </c>
      <c r="G61" s="34" t="n">
        <f aca="false">MIN(1,Assumptions!$C$13+(1-Assumptions!$C$13)*(A61-1)/Assumptions!$C$14)</f>
        <v>1</v>
      </c>
      <c r="H61" s="33" t="n">
        <f aca="false">F61*Assumptions!$C$12*G61</f>
        <v>1.5</v>
      </c>
      <c r="I61" s="33" t="n">
        <f aca="false">Assumptions!$C$15*(Q60+R60+T60+U60)</f>
        <v>0.100675422216761</v>
      </c>
      <c r="J61" s="33" t="n">
        <f aca="false">H61+I61</f>
        <v>1.60067542221676</v>
      </c>
      <c r="K61" s="33" t="n">
        <f aca="false">J61*Assumptions!$C$18</f>
        <v>0</v>
      </c>
      <c r="L61" s="33" t="n">
        <f aca="false">(J61-K61)*Assumptions!$C$17</f>
        <v>1.12047279555173</v>
      </c>
      <c r="M61" s="33" t="n">
        <f aca="false">J61-K61-L61</f>
        <v>0.480202626665028</v>
      </c>
      <c r="N61" s="33" t="n">
        <f aca="false">L61*Assumptions!$C$19</f>
        <v>0.16807091933276</v>
      </c>
      <c r="O61" s="33" t="n">
        <f aca="false">L61-N61</f>
        <v>0.952401876218972</v>
      </c>
      <c r="P61" s="33" t="n">
        <f aca="false">O49*(1-Assumptions!$C$20)^12</f>
        <v>0.743060040904973</v>
      </c>
      <c r="Q61" s="33" t="n">
        <f aca="false">Q60*(1-Assumptions!$C$20)+O61-P61</f>
        <v>10.2287147602557</v>
      </c>
      <c r="R61" s="33" t="n">
        <f aca="false">R60*(1-Assumptions!$C$22)+P61*(1-Assumptions!$C$21)</f>
        <v>8.52217232728907</v>
      </c>
      <c r="S61" s="33" t="n">
        <f aca="false">Q61+R61</f>
        <v>18.7508870875448</v>
      </c>
      <c r="T61" s="33" t="n">
        <f aca="false">T60*(1-Assumptions!$C$24)+M61*Assumptions!$C$23</f>
        <v>1.49480257330368</v>
      </c>
      <c r="U61" s="33" t="n">
        <f aca="false">U60*(1-Assumptions!$C$25)+K61</f>
        <v>0</v>
      </c>
      <c r="V61" s="33" t="n">
        <f aca="false">V60+M61</f>
        <v>22.8884397565996</v>
      </c>
      <c r="W61" s="33" t="n">
        <f aca="false">N61+Q60*Assumptions!$C$20+P61*Assumptions!$C$21+R60*Assumptions!$C$22+T60*Assumptions!$C$24+U60*Assumptions!$C$25</f>
        <v>1.1059081033884</v>
      </c>
      <c r="X61" s="33" t="n">
        <f aca="false">IF(A61&lt;Assumptions!$C$34,0,Assumptions!$C$36*MIN(1,(A61-Assumptions!$C$34+1)/Assumptions!$C$35))*(S61+T61)</f>
        <v>2.02456896608485</v>
      </c>
      <c r="Y61" s="31" t="n">
        <f aca="false">IF(Y60&gt;0,Y60,IF(AND(A61&gt;=Assumptions!$C$41,Q60+R60+T60&gt;=Assumptions!$C$40),A61,0))</f>
        <v>56</v>
      </c>
      <c r="Z61" s="33" t="n">
        <f aca="false">IF(Y61&gt;0,Assumptions!$C$42*MIN(1,(A61-Y61+1)/Assumptions!$C$43),0)*(S61+T61)</f>
        <v>0.337428161014141</v>
      </c>
      <c r="AA61" s="35" t="n">
        <f aca="false">(1+Assumptions!$C$32)^(C61-1)</f>
        <v>1</v>
      </c>
      <c r="AB61" s="36" t="n">
        <f aca="false">O61*Assumptions!$C$27*AA61</f>
        <v>94.2877857456783</v>
      </c>
      <c r="AC61" s="36" t="n">
        <f aca="false">(Q60+R60)*Assumptions!$C$28*AA61</f>
        <v>1846.05693143537</v>
      </c>
      <c r="AD61" s="36" t="n">
        <f aca="false">M61*Assumptions!$C$29*AA61</f>
        <v>239.621110705849</v>
      </c>
      <c r="AE61" s="36" t="n">
        <f aca="false">T60*Assumptions!$C$30*AA61</f>
        <v>117.555533818812</v>
      </c>
      <c r="AF61" s="36" t="n">
        <f aca="false">U60*Assumptions!$C$31*AA61</f>
        <v>0</v>
      </c>
      <c r="AG61" s="36" t="n">
        <f aca="false">X61*Assumptions!$C$37*Assumptions!$C$38</f>
        <v>101.228448304242</v>
      </c>
      <c r="AH61" s="36" t="n">
        <f aca="false">Z61*Assumptions!$C$44*Assumptions!$C$45</f>
        <v>6.74856322028282</v>
      </c>
      <c r="AI61" s="36" t="n">
        <f aca="false">SUM(AB61:AH61)</f>
        <v>2405.49837323024</v>
      </c>
      <c r="AJ61" s="36" t="n">
        <f aca="false">(S61*Assumptions!$C$28+T61*Assumptions!$C$30+U61*Assumptions!$C$31)*AA61+AG61+AH61</f>
        <v>2082.40423648245</v>
      </c>
      <c r="AK61" s="36" t="n">
        <f aca="false">(AI61-AH61)*Assumptions!$C$49</f>
        <v>95.9499924003982</v>
      </c>
      <c r="AL61" s="36" t="n">
        <f aca="false">(AC61+AE61+AF61)*Assumptions!$C$50</f>
        <v>13.7452872567793</v>
      </c>
      <c r="AM61" s="36" t="n">
        <f aca="false">S61*Assumptions!$C$51+M61*Assumptions!$C$52</f>
        <v>30.6416482594064</v>
      </c>
      <c r="AN61" s="36" t="n">
        <f aca="false">Assumptions!$C$53+Assumptions!$C$54*(S61+T61+U61)</f>
        <v>280.982758643394</v>
      </c>
      <c r="AO61" s="36" t="n">
        <f aca="false">IF(C61&gt;=2,Assumptions!$C$55,0)</f>
        <v>100</v>
      </c>
      <c r="AP61" s="33" t="n">
        <f aca="false">E61*Assumptions!$C$60/60+F61*Assumptions!$C$61+J61*Assumptions!$C$62+(S61+T61)*Assumptions!$C$63+X61*Assumptions!$C$64+Z61*Assumptions!$C$65+U61*Assumptions!$C$66+Assumptions!$C$67*52/12</f>
        <v>94.764820819112</v>
      </c>
      <c r="AQ61" s="33" t="n">
        <f aca="false">IF(BC60=1,Assumptions!$C$69,Assumptions!$C$68)*52/12</f>
        <v>78</v>
      </c>
      <c r="AR61" s="33" t="n">
        <f aca="false">MAX(0,AP61-AQ61)</f>
        <v>16.764820819112</v>
      </c>
      <c r="AS61" s="36" t="n">
        <f aca="false">AR61*Assumptions!$C$70*Assumptions!$C$71</f>
        <v>217.942670648456</v>
      </c>
      <c r="AT61" s="36" t="n">
        <f aca="false">Assumptions!$C$56/12</f>
        <v>100</v>
      </c>
      <c r="AU61" s="36" t="n">
        <f aca="false">IF(A61=1,Assumptions!$C$57,0)+Assumptions!$C$58</f>
        <v>60</v>
      </c>
      <c r="AV61" s="36" t="n">
        <f aca="false">IF(AND(Y61&gt;0,Y61=A61),Assumptions!$C$46,0)+IF(Y61&gt;0,Assumptions!$C$47,0)</f>
        <v>75</v>
      </c>
      <c r="AW61" s="36" t="n">
        <f aca="false">AK61+AL61+AM61+AN61+AO61+AS61+AT61+AU61+AV61</f>
        <v>974.262357208434</v>
      </c>
      <c r="AX61" s="36" t="n">
        <f aca="false">AI61-AW61</f>
        <v>1431.2360160218</v>
      </c>
      <c r="AY61" s="36" t="n">
        <f aca="false">MAX(0,AX61)*Assumptions!$C$73</f>
        <v>429.370804806541</v>
      </c>
      <c r="AZ61" s="36" t="n">
        <f aca="false">AX61-AY61</f>
        <v>1001.86521121526</v>
      </c>
      <c r="BA61" s="36" t="n">
        <f aca="false">BA60+AZ61</f>
        <v>28610.4447379627</v>
      </c>
      <c r="BB61" s="31" t="n">
        <f aca="false">IF(AZ61&gt;=Assumptions!$C$74/12,BB60+1,0)</f>
        <v>0</v>
      </c>
      <c r="BC61" s="31" t="n">
        <f aca="false">IF(OR(BC60=1,BB61&gt;=3),1,0)</f>
        <v>0</v>
      </c>
      <c r="BD61" s="31" t="n">
        <f aca="false">IF(AZ61&gt;=Assumptions!$C$75/12,BD60+1,0)</f>
        <v>0</v>
      </c>
      <c r="BE61" s="33" t="n">
        <f aca="false">AP61*12/52</f>
        <v>21.8688048044105</v>
      </c>
      <c r="BF61" s="33" t="n">
        <f aca="false">AR61*12/52</f>
        <v>3.86880480441047</v>
      </c>
      <c r="BG61" s="31" t="n">
        <f aca="false">IF(AX61&gt;0,A61,999)</f>
        <v>57</v>
      </c>
      <c r="BH61" s="31" t="n">
        <f aca="false">IF(BB61&gt;=3,A61,999)</f>
        <v>999</v>
      </c>
      <c r="BI61" s="31" t="n">
        <f aca="false">IF(BD61&gt;=3,A61,999)</f>
        <v>999</v>
      </c>
    </row>
    <row r="62" customFormat="false" ht="15" hidden="false" customHeight="false" outlineLevel="0" collapsed="false">
      <c r="A62" s="31" t="n">
        <v>58</v>
      </c>
      <c r="B62" s="32" t="n">
        <f aca="false">DATE(2026,10+A62,1)</f>
        <v>48061</v>
      </c>
      <c r="C62" s="31" t="n">
        <f aca="false">INT((A62-1)/12)+1</f>
        <v>5</v>
      </c>
      <c r="D62" s="31" t="n">
        <f aca="false">IF(C62=1,Assumptions!$C$7,IF(C62=2,Assumptions!$C$8,Assumptions!$C$9))</f>
        <v>15</v>
      </c>
      <c r="E62" s="31" t="n">
        <f aca="false">D62*Assumptions!$C$10</f>
        <v>300</v>
      </c>
      <c r="F62" s="33" t="n">
        <f aca="false">E62*Assumptions!$C$11</f>
        <v>15</v>
      </c>
      <c r="G62" s="34" t="n">
        <f aca="false">MIN(1,Assumptions!$C$13+(1-Assumptions!$C$13)*(A62-1)/Assumptions!$C$14)</f>
        <v>1</v>
      </c>
      <c r="H62" s="33" t="n">
        <f aca="false">F62*Assumptions!$C$12*G62</f>
        <v>1.5</v>
      </c>
      <c r="I62" s="33" t="n">
        <f aca="false">Assumptions!$C$15*(Q61+R61+T61+U61)</f>
        <v>0.101228448304242</v>
      </c>
      <c r="J62" s="33" t="n">
        <f aca="false">H62+I62</f>
        <v>1.60122844830424</v>
      </c>
      <c r="K62" s="33" t="n">
        <f aca="false">J62*Assumptions!$C$18</f>
        <v>0</v>
      </c>
      <c r="L62" s="33" t="n">
        <f aca="false">(J62-K62)*Assumptions!$C$17</f>
        <v>1.12085991381297</v>
      </c>
      <c r="M62" s="33" t="n">
        <f aca="false">J62-K62-L62</f>
        <v>0.480368534491273</v>
      </c>
      <c r="N62" s="33" t="n">
        <f aca="false">L62*Assumptions!$C$19</f>
        <v>0.168128987071945</v>
      </c>
      <c r="O62" s="33" t="n">
        <f aca="false">L62-N62</f>
        <v>0.952730926741024</v>
      </c>
      <c r="P62" s="33" t="n">
        <f aca="false">O50*(1-Assumptions!$C$20)^12</f>
        <v>0.743522107497515</v>
      </c>
      <c r="Q62" s="33" t="n">
        <f aca="false">Q61*(1-Assumptions!$C$20)+O62-P62</f>
        <v>10.2333492842941</v>
      </c>
      <c r="R62" s="33" t="n">
        <f aca="false">R61*(1-Assumptions!$C$22)+P62*(1-Assumptions!$C$21)</f>
        <v>8.61652918617287</v>
      </c>
      <c r="S62" s="33" t="n">
        <f aca="false">Q62+R62</f>
        <v>18.849878470467</v>
      </c>
      <c r="T62" s="33" t="n">
        <f aca="false">T61*(1-Assumptions!$C$24)+M62*Assumptions!$C$23</f>
        <v>1.50118812580371</v>
      </c>
      <c r="U62" s="33" t="n">
        <f aca="false">U61*(1-Assumptions!$C$25)+K62</f>
        <v>0</v>
      </c>
      <c r="V62" s="33" t="n">
        <f aca="false">V61+M62</f>
        <v>23.3688082910908</v>
      </c>
      <c r="W62" s="33" t="n">
        <f aca="false">N62+Q61*Assumptions!$C$20+P62*Assumptions!$C$21+R61*Assumptions!$C$22+T61*Assumptions!$C$24+U61*Assumptions!$C$25</f>
        <v>1.11155668528899</v>
      </c>
      <c r="X62" s="33" t="n">
        <f aca="false">IF(A62&lt;Assumptions!$C$34,0,Assumptions!$C$36*MIN(1,(A62-Assumptions!$C$34+1)/Assumptions!$C$35))*(S62+T62)</f>
        <v>2.03510665962707</v>
      </c>
      <c r="Y62" s="31" t="n">
        <f aca="false">IF(Y61&gt;0,Y61,IF(AND(A62&gt;=Assumptions!$C$41,Q61+R61+T61&gt;=Assumptions!$C$40),A62,0))</f>
        <v>56</v>
      </c>
      <c r="Z62" s="33" t="n">
        <f aca="false">IF(Y62&gt;0,Assumptions!$C$42*MIN(1,(A62-Y62+1)/Assumptions!$C$43),0)*(S62+T62)</f>
        <v>0.508776664906767</v>
      </c>
      <c r="AA62" s="35" t="n">
        <f aca="false">(1+Assumptions!$C$32)^(C62-1)</f>
        <v>1</v>
      </c>
      <c r="AB62" s="36" t="n">
        <f aca="false">O62*Assumptions!$C$27*AA62</f>
        <v>94.3203617473614</v>
      </c>
      <c r="AC62" s="36" t="n">
        <f aca="false">(Q61+R61)*Assumptions!$C$28*AA62</f>
        <v>1856.33782166693</v>
      </c>
      <c r="AD62" s="36" t="n">
        <f aca="false">M62*Assumptions!$C$29*AA62</f>
        <v>239.703898711145</v>
      </c>
      <c r="AE62" s="36" t="n">
        <f aca="false">T61*Assumptions!$C$30*AA62</f>
        <v>118.08940329099</v>
      </c>
      <c r="AF62" s="36" t="n">
        <f aca="false">U61*Assumptions!$C$31*AA62</f>
        <v>0</v>
      </c>
      <c r="AG62" s="36" t="n">
        <f aca="false">X62*Assumptions!$C$37*Assumptions!$C$38</f>
        <v>101.755332981353</v>
      </c>
      <c r="AH62" s="36" t="n">
        <f aca="false">Z62*Assumptions!$C$44*Assumptions!$C$45</f>
        <v>10.1755332981353</v>
      </c>
      <c r="AI62" s="36" t="n">
        <f aca="false">SUM(AB62:AH62)</f>
        <v>2420.38235169592</v>
      </c>
      <c r="AJ62" s="36" t="n">
        <f aca="false">(S62*Assumptions!$C$28+T62*Assumptions!$C$30+U62*Assumptions!$C$31)*AA62+AG62+AH62</f>
        <v>2096.66269679421</v>
      </c>
      <c r="AK62" s="36" t="n">
        <f aca="false">(AI62-AH62)*Assumptions!$C$49</f>
        <v>96.4082727359113</v>
      </c>
      <c r="AL62" s="36" t="n">
        <f aca="false">(AC62+AE62+AF62)*Assumptions!$C$50</f>
        <v>13.8209905747055</v>
      </c>
      <c r="AM62" s="36" t="n">
        <f aca="false">S62*Assumptions!$C$51+M62*Assumptions!$C$52</f>
        <v>30.7678761054528</v>
      </c>
      <c r="AN62" s="36" t="n">
        <f aca="false">Assumptions!$C$53+Assumptions!$C$54*(S62+T62+U62)</f>
        <v>281.404266385083</v>
      </c>
      <c r="AO62" s="36" t="n">
        <f aca="false">IF(C62&gt;=2,Assumptions!$C$55,0)</f>
        <v>100</v>
      </c>
      <c r="AP62" s="33" t="n">
        <f aca="false">E62*Assumptions!$C$60/60+F62*Assumptions!$C$61+J62*Assumptions!$C$62+(S62+T62)*Assumptions!$C$63+X62*Assumptions!$C$64+Z62*Assumptions!$C$65+U62*Assumptions!$C$66+Assumptions!$C$67*52/12</f>
        <v>95.0444448597001</v>
      </c>
      <c r="AQ62" s="33" t="n">
        <f aca="false">IF(BC61=1,Assumptions!$C$69,Assumptions!$C$68)*52/12</f>
        <v>78</v>
      </c>
      <c r="AR62" s="33" t="n">
        <f aca="false">MAX(0,AP62-AQ62)</f>
        <v>17.0444448597001</v>
      </c>
      <c r="AS62" s="36" t="n">
        <f aca="false">AR62*Assumptions!$C$70*Assumptions!$C$71</f>
        <v>221.577783176101</v>
      </c>
      <c r="AT62" s="36" t="n">
        <f aca="false">Assumptions!$C$56/12</f>
        <v>100</v>
      </c>
      <c r="AU62" s="36" t="n">
        <f aca="false">IF(A62=1,Assumptions!$C$57,0)+Assumptions!$C$58</f>
        <v>60</v>
      </c>
      <c r="AV62" s="36" t="n">
        <f aca="false">IF(AND(Y62&gt;0,Y62=A62),Assumptions!$C$46,0)+IF(Y62&gt;0,Assumptions!$C$47,0)</f>
        <v>75</v>
      </c>
      <c r="AW62" s="36" t="n">
        <f aca="false">AK62+AL62+AM62+AN62+AO62+AS62+AT62+AU62+AV62</f>
        <v>978.979188977253</v>
      </c>
      <c r="AX62" s="36" t="n">
        <f aca="false">AI62-AW62</f>
        <v>1441.40316271867</v>
      </c>
      <c r="AY62" s="36" t="n">
        <f aca="false">MAX(0,AX62)*Assumptions!$C$73</f>
        <v>432.4209488156</v>
      </c>
      <c r="AZ62" s="36" t="n">
        <f aca="false">AX62-AY62</f>
        <v>1008.98221390307</v>
      </c>
      <c r="BA62" s="36" t="n">
        <f aca="false">BA61+AZ62</f>
        <v>29619.4269518658</v>
      </c>
      <c r="BB62" s="31" t="n">
        <f aca="false">IF(AZ62&gt;=Assumptions!$C$74/12,BB61+1,0)</f>
        <v>0</v>
      </c>
      <c r="BC62" s="31" t="n">
        <f aca="false">IF(OR(BC61=1,BB62&gt;=3),1,0)</f>
        <v>0</v>
      </c>
      <c r="BD62" s="31" t="n">
        <f aca="false">IF(AZ62&gt;=Assumptions!$C$75/12,BD61+1,0)</f>
        <v>0</v>
      </c>
      <c r="BE62" s="33" t="n">
        <f aca="false">AP62*12/52</f>
        <v>21.9333334291616</v>
      </c>
      <c r="BF62" s="33" t="n">
        <f aca="false">AR62*12/52</f>
        <v>3.93333342916155</v>
      </c>
      <c r="BG62" s="31" t="n">
        <f aca="false">IF(AX62&gt;0,A62,999)</f>
        <v>58</v>
      </c>
      <c r="BH62" s="31" t="n">
        <f aca="false">IF(BB62&gt;=3,A62,999)</f>
        <v>999</v>
      </c>
      <c r="BI62" s="31" t="n">
        <f aca="false">IF(BD62&gt;=3,A62,999)</f>
        <v>999</v>
      </c>
    </row>
    <row r="63" customFormat="false" ht="15" hidden="false" customHeight="false" outlineLevel="0" collapsed="false">
      <c r="A63" s="31" t="n">
        <v>59</v>
      </c>
      <c r="B63" s="32" t="n">
        <f aca="false">DATE(2026,10+A63,1)</f>
        <v>48092</v>
      </c>
      <c r="C63" s="31" t="n">
        <f aca="false">INT((A63-1)/12)+1</f>
        <v>5</v>
      </c>
      <c r="D63" s="31" t="n">
        <f aca="false">IF(C63=1,Assumptions!$C$7,IF(C63=2,Assumptions!$C$8,Assumptions!$C$9))</f>
        <v>15</v>
      </c>
      <c r="E63" s="31" t="n">
        <f aca="false">D63*Assumptions!$C$10</f>
        <v>300</v>
      </c>
      <c r="F63" s="33" t="n">
        <f aca="false">E63*Assumptions!$C$11</f>
        <v>15</v>
      </c>
      <c r="G63" s="34" t="n">
        <f aca="false">MIN(1,Assumptions!$C$13+(1-Assumptions!$C$13)*(A63-1)/Assumptions!$C$14)</f>
        <v>1</v>
      </c>
      <c r="H63" s="33" t="n">
        <f aca="false">F63*Assumptions!$C$12*G63</f>
        <v>1.5</v>
      </c>
      <c r="I63" s="33" t="n">
        <f aca="false">Assumptions!$C$15*(Q62+R62+T62+U62)</f>
        <v>0.101755332981353</v>
      </c>
      <c r="J63" s="33" t="n">
        <f aca="false">H63+I63</f>
        <v>1.60175533298135</v>
      </c>
      <c r="K63" s="33" t="n">
        <f aca="false">J63*Assumptions!$C$18</f>
        <v>0</v>
      </c>
      <c r="L63" s="33" t="n">
        <f aca="false">(J63-K63)*Assumptions!$C$17</f>
        <v>1.12122873308695</v>
      </c>
      <c r="M63" s="33" t="n">
        <f aca="false">J63-K63-L63</f>
        <v>0.480526599894406</v>
      </c>
      <c r="N63" s="33" t="n">
        <f aca="false">L63*Assumptions!$C$19</f>
        <v>0.168184309963042</v>
      </c>
      <c r="O63" s="33" t="n">
        <f aca="false">L63-N63</f>
        <v>0.953044423123905</v>
      </c>
      <c r="P63" s="33" t="n">
        <f aca="false">O51*(1-Assumptions!$C$20)^12</f>
        <v>0.743962276662855</v>
      </c>
      <c r="Q63" s="33" t="n">
        <f aca="false">Q62*(1-Assumptions!$C$20)+O63-P63</f>
        <v>10.2377644450693</v>
      </c>
      <c r="R63" s="33" t="n">
        <f aca="false">R62*(1-Assumptions!$C$22)+P63*(1-Assumptions!$C$21)</f>
        <v>8.70647632052823</v>
      </c>
      <c r="S63" s="33" t="n">
        <f aca="false">Q63+R63</f>
        <v>18.9442407655975</v>
      </c>
      <c r="T63" s="33" t="n">
        <f aca="false">T62*(1-Assumptions!$C$24)+M63*Assumptions!$C$23</f>
        <v>1.50722215823437</v>
      </c>
      <c r="U63" s="33" t="n">
        <f aca="false">U62*(1-Assumptions!$C$25)+K63</f>
        <v>0</v>
      </c>
      <c r="V63" s="33" t="n">
        <f aca="false">V62+M63</f>
        <v>23.8493348909852</v>
      </c>
      <c r="W63" s="33" t="n">
        <f aca="false">N63+Q62*Assumptions!$C$20+P63*Assumptions!$C$21+R62*Assumptions!$C$22+T62*Assumptions!$C$24+U62*Assumptions!$C$25</f>
        <v>1.11693772550465</v>
      </c>
      <c r="X63" s="33" t="n">
        <f aca="false">IF(A63&lt;Assumptions!$C$34,0,Assumptions!$C$36*MIN(1,(A63-Assumptions!$C$34+1)/Assumptions!$C$35))*(S63+T63)</f>
        <v>2.04514629238319</v>
      </c>
      <c r="Y63" s="31" t="n">
        <f aca="false">IF(Y62&gt;0,Y62,IF(AND(A63&gt;=Assumptions!$C$41,Q62+R62+T62&gt;=Assumptions!$C$40),A63,0))</f>
        <v>56</v>
      </c>
      <c r="Z63" s="33" t="n">
        <f aca="false">IF(Y63&gt;0,Assumptions!$C$42*MIN(1,(A63-Y63+1)/Assumptions!$C$43),0)*(S63+T63)</f>
        <v>0.681715430794396</v>
      </c>
      <c r="AA63" s="35" t="n">
        <f aca="false">(1+Assumptions!$C$32)^(C63-1)</f>
        <v>1</v>
      </c>
      <c r="AB63" s="36" t="n">
        <f aca="false">O63*Assumptions!$C$27*AA63</f>
        <v>94.3513978892666</v>
      </c>
      <c r="AC63" s="36" t="n">
        <f aca="false">(Q62+R62)*Assumptions!$C$28*AA63</f>
        <v>1866.13796857623</v>
      </c>
      <c r="AD63" s="36" t="n">
        <f aca="false">M63*Assumptions!$C$29*AA63</f>
        <v>239.782773347309</v>
      </c>
      <c r="AE63" s="36" t="n">
        <f aca="false">T62*Assumptions!$C$30*AA63</f>
        <v>118.593861938493</v>
      </c>
      <c r="AF63" s="36" t="n">
        <f aca="false">U62*Assumptions!$C$31*AA63</f>
        <v>0</v>
      </c>
      <c r="AG63" s="36" t="n">
        <f aca="false">X63*Assumptions!$C$37*Assumptions!$C$38</f>
        <v>102.257314619159</v>
      </c>
      <c r="AH63" s="36" t="n">
        <f aca="false">Z63*Assumptions!$C$44*Assumptions!$C$45</f>
        <v>13.6343086158879</v>
      </c>
      <c r="AI63" s="36" t="n">
        <f aca="false">SUM(AB63:AH63)</f>
        <v>2434.75762498635</v>
      </c>
      <c r="AJ63" s="36" t="n">
        <f aca="false">(S63*Assumptions!$C$28+T63*Assumptions!$C$30+U63*Assumptions!$C$31)*AA63+AG63+AH63</f>
        <v>2110.44200952972</v>
      </c>
      <c r="AK63" s="36" t="n">
        <f aca="false">(AI63-AH63)*Assumptions!$C$49</f>
        <v>96.8449326548183</v>
      </c>
      <c r="AL63" s="36" t="n">
        <f aca="false">(AC63+AE63+AF63)*Assumptions!$C$50</f>
        <v>13.8931228136031</v>
      </c>
      <c r="AM63" s="36" t="n">
        <f aca="false">S63*Assumptions!$C$51+M63*Assumptions!$C$52</f>
        <v>30.888199955413</v>
      </c>
      <c r="AN63" s="36" t="n">
        <f aca="false">Assumptions!$C$53+Assumptions!$C$54*(S63+T63+U63)</f>
        <v>281.805851695328</v>
      </c>
      <c r="AO63" s="36" t="n">
        <f aca="false">IF(C63&gt;=2,Assumptions!$C$55,0)</f>
        <v>100</v>
      </c>
      <c r="AP63" s="33" t="n">
        <f aca="false">E63*Assumptions!$C$60/60+F63*Assumptions!$C$61+J63*Assumptions!$C$62+(S63+T63)*Assumptions!$C$63+X63*Assumptions!$C$64+Z63*Assumptions!$C$65+U63*Assumptions!$C$66+Assumptions!$C$67*52/12</f>
        <v>95.3137592477542</v>
      </c>
      <c r="AQ63" s="33" t="n">
        <f aca="false">IF(BC62=1,Assumptions!$C$69,Assumptions!$C$68)*52/12</f>
        <v>78</v>
      </c>
      <c r="AR63" s="33" t="n">
        <f aca="false">MAX(0,AP63-AQ63)</f>
        <v>17.3137592477542</v>
      </c>
      <c r="AS63" s="36" t="n">
        <f aca="false">AR63*Assumptions!$C$70*Assumptions!$C$71</f>
        <v>225.078870220805</v>
      </c>
      <c r="AT63" s="36" t="n">
        <f aca="false">Assumptions!$C$56/12</f>
        <v>100</v>
      </c>
      <c r="AU63" s="36" t="n">
        <f aca="false">IF(A63=1,Assumptions!$C$57,0)+Assumptions!$C$58</f>
        <v>60</v>
      </c>
      <c r="AV63" s="36" t="n">
        <f aca="false">IF(AND(Y63&gt;0,Y63=A63),Assumptions!$C$46,0)+IF(Y63&gt;0,Assumptions!$C$47,0)</f>
        <v>75</v>
      </c>
      <c r="AW63" s="36" t="n">
        <f aca="false">AK63+AL63+AM63+AN63+AO63+AS63+AT63+AU63+AV63</f>
        <v>983.510977339967</v>
      </c>
      <c r="AX63" s="36" t="n">
        <f aca="false">AI63-AW63</f>
        <v>1451.24664764638</v>
      </c>
      <c r="AY63" s="36" t="n">
        <f aca="false">MAX(0,AX63)*Assumptions!$C$73</f>
        <v>435.373994293914</v>
      </c>
      <c r="AZ63" s="36" t="n">
        <f aca="false">AX63-AY63</f>
        <v>1015.87265335247</v>
      </c>
      <c r="BA63" s="36" t="n">
        <f aca="false">BA62+AZ63</f>
        <v>30635.2996052183</v>
      </c>
      <c r="BB63" s="31" t="n">
        <f aca="false">IF(AZ63&gt;=Assumptions!$C$74/12,BB62+1,0)</f>
        <v>0</v>
      </c>
      <c r="BC63" s="31" t="n">
        <f aca="false">IF(OR(BC62=1,BB63&gt;=3),1,0)</f>
        <v>0</v>
      </c>
      <c r="BD63" s="31" t="n">
        <f aca="false">IF(AZ63&gt;=Assumptions!$C$75/12,BD62+1,0)</f>
        <v>0</v>
      </c>
      <c r="BE63" s="33" t="n">
        <f aca="false">AP63*12/52</f>
        <v>21.9954829033279</v>
      </c>
      <c r="BF63" s="33" t="n">
        <f aca="false">AR63*12/52</f>
        <v>3.9954829033279</v>
      </c>
      <c r="BG63" s="31" t="n">
        <f aca="false">IF(AX63&gt;0,A63,999)</f>
        <v>59</v>
      </c>
      <c r="BH63" s="31" t="n">
        <f aca="false">IF(BB63&gt;=3,A63,999)</f>
        <v>999</v>
      </c>
      <c r="BI63" s="31" t="n">
        <f aca="false">IF(BD63&gt;=3,A63,999)</f>
        <v>999</v>
      </c>
    </row>
    <row r="64" customFormat="false" ht="15" hidden="false" customHeight="false" outlineLevel="0" collapsed="false">
      <c r="A64" s="37" t="n">
        <v>60</v>
      </c>
      <c r="B64" s="38" t="n">
        <f aca="false">DATE(2026,10+A64,1)</f>
        <v>48122</v>
      </c>
      <c r="C64" s="37" t="n">
        <f aca="false">INT((A64-1)/12)+1</f>
        <v>5</v>
      </c>
      <c r="D64" s="37" t="n">
        <f aca="false">IF(C64=1,Assumptions!$C$7,IF(C64=2,Assumptions!$C$8,Assumptions!$C$9))</f>
        <v>15</v>
      </c>
      <c r="E64" s="37" t="n">
        <f aca="false">D64*Assumptions!$C$10</f>
        <v>300</v>
      </c>
      <c r="F64" s="39" t="n">
        <f aca="false">E64*Assumptions!$C$11</f>
        <v>15</v>
      </c>
      <c r="G64" s="40" t="n">
        <f aca="false">MIN(1,Assumptions!$C$13+(1-Assumptions!$C$13)*(A64-1)/Assumptions!$C$14)</f>
        <v>1</v>
      </c>
      <c r="H64" s="39" t="n">
        <f aca="false">F64*Assumptions!$C$12*G64</f>
        <v>1.5</v>
      </c>
      <c r="I64" s="39" t="n">
        <f aca="false">Assumptions!$C$15*(Q63+R63+T63+U63)</f>
        <v>0.102257314619159</v>
      </c>
      <c r="J64" s="39" t="n">
        <f aca="false">H64+I64</f>
        <v>1.60225731461916</v>
      </c>
      <c r="K64" s="39" t="n">
        <f aca="false">J64*Assumptions!$C$18</f>
        <v>0</v>
      </c>
      <c r="L64" s="39" t="n">
        <f aca="false">(J64-K64)*Assumptions!$C$17</f>
        <v>1.12158012023341</v>
      </c>
      <c r="M64" s="39" t="n">
        <f aca="false">J64-K64-L64</f>
        <v>0.480677194385748</v>
      </c>
      <c r="N64" s="39" t="n">
        <f aca="false">L64*Assumptions!$C$19</f>
        <v>0.168237018035012</v>
      </c>
      <c r="O64" s="39" t="n">
        <f aca="false">L64-N64</f>
        <v>0.9533431021984</v>
      </c>
      <c r="P64" s="39" t="n">
        <f aca="false">O52*(1-Assumptions!$C$20)^12</f>
        <v>0.744381576754253</v>
      </c>
      <c r="Q64" s="39" t="n">
        <f aca="false">Q63*(1-Assumptions!$C$20)+O64-P64</f>
        <v>10.241970681612</v>
      </c>
      <c r="R64" s="39" t="n">
        <f aca="false">R63*(1-Assumptions!$C$22)+P64*(1-Assumptions!$C$21)</f>
        <v>8.7922196082298</v>
      </c>
      <c r="S64" s="39" t="n">
        <f aca="false">Q64+R64</f>
        <v>19.0341902898418</v>
      </c>
      <c r="T64" s="39" t="n">
        <f aca="false">T63*(1-Assumptions!$C$24)+M64*Assumptions!$C$23</f>
        <v>1.51292426761746</v>
      </c>
      <c r="U64" s="39" t="n">
        <f aca="false">U63*(1-Assumptions!$C$25)+K64</f>
        <v>0</v>
      </c>
      <c r="V64" s="39" t="n">
        <f aca="false">V63+M64</f>
        <v>24.330012085371</v>
      </c>
      <c r="W64" s="39" t="n">
        <f aca="false">N64+Q63*Assumptions!$C$20+P64*Assumptions!$C$21+R63*Assumptions!$C$22+T63*Assumptions!$C$24+U63*Assumptions!$C$25</f>
        <v>1.12206392548315</v>
      </c>
      <c r="X64" s="39" t="n">
        <f aca="false">IF(A64&lt;Assumptions!$C$34,0,Assumptions!$C$36*MIN(1,(A64-Assumptions!$C$34+1)/Assumptions!$C$35))*(S64+T64)</f>
        <v>2.05471145574593</v>
      </c>
      <c r="Y64" s="37" t="n">
        <f aca="false">IF(Y63&gt;0,Y63,IF(AND(A64&gt;=Assumptions!$C$41,Q63+R63+T63&gt;=Assumptions!$C$40),A64,0))</f>
        <v>56</v>
      </c>
      <c r="Z64" s="39" t="n">
        <f aca="false">IF(Y64&gt;0,Assumptions!$C$42*MIN(1,(A64-Y64+1)/Assumptions!$C$43),0)*(S64+T64)</f>
        <v>0.85612977322747</v>
      </c>
      <c r="AA64" s="41" t="n">
        <f aca="false">(1+Assumptions!$C$32)^(C64-1)</f>
        <v>1</v>
      </c>
      <c r="AB64" s="42" t="n">
        <f aca="false">O64*Assumptions!$C$27*AA64</f>
        <v>94.3809671176416</v>
      </c>
      <c r="AC64" s="42" t="n">
        <f aca="false">(Q63+R63)*Assumptions!$C$28*AA64</f>
        <v>1875.47983579415</v>
      </c>
      <c r="AD64" s="42" t="n">
        <f aca="false">M64*Assumptions!$C$29*AA64</f>
        <v>239.857919998488</v>
      </c>
      <c r="AE64" s="42" t="n">
        <f aca="false">T63*Assumptions!$C$30*AA64</f>
        <v>119.070550500515</v>
      </c>
      <c r="AF64" s="42" t="n">
        <f aca="false">U63*Assumptions!$C$31*AA64</f>
        <v>0</v>
      </c>
      <c r="AG64" s="42" t="n">
        <f aca="false">X64*Assumptions!$C$37*Assumptions!$C$38</f>
        <v>102.735572787296</v>
      </c>
      <c r="AH64" s="42" t="n">
        <f aca="false">Z64*Assumptions!$C$44*Assumptions!$C$45</f>
        <v>17.1225954645494</v>
      </c>
      <c r="AI64" s="42" t="n">
        <f aca="false">SUM(AB64:AH64)</f>
        <v>2448.64744166264</v>
      </c>
      <c r="AJ64" s="42" t="n">
        <f aca="false">(S64*Assumptions!$C$28+T64*Assumptions!$C$30+U64*Assumptions!$C$31)*AA64+AG64+AH64</f>
        <v>2123.76402408797</v>
      </c>
      <c r="AK64" s="42" t="n">
        <f aca="false">(AI64-AH64)*Assumptions!$C$49</f>
        <v>97.2609938479238</v>
      </c>
      <c r="AL64" s="42" t="n">
        <f aca="false">(AC64+AE64+AF64)*Assumptions!$C$50</f>
        <v>13.9618527040627</v>
      </c>
      <c r="AM64" s="42" t="n">
        <f aca="false">S64*Assumptions!$C$51+M64*Assumptions!$C$52</f>
        <v>31.0028957780885</v>
      </c>
      <c r="AN64" s="42" t="n">
        <f aca="false">Assumptions!$C$53+Assumptions!$C$54*(S64+T64+U64)</f>
        <v>282.188458229837</v>
      </c>
      <c r="AO64" s="42" t="n">
        <f aca="false">IF(C64&gt;=2,Assumptions!$C$55,0)</f>
        <v>100</v>
      </c>
      <c r="AP64" s="39" t="n">
        <f aca="false">E64*Assumptions!$C$60/60+F64*Assumptions!$C$61+J64*Assumptions!$C$62+(S64+T64)*Assumptions!$C$63+X64*Assumptions!$C$64+Z64*Assumptions!$C$65+U64*Assumptions!$C$66+Assumptions!$C$67*52/12</f>
        <v>95.5732405076965</v>
      </c>
      <c r="AQ64" s="39" t="n">
        <f aca="false">IF(BC63=1,Assumptions!$C$69,Assumptions!$C$68)*52/12</f>
        <v>78</v>
      </c>
      <c r="AR64" s="39" t="n">
        <f aca="false">MAX(0,AP64-AQ64)</f>
        <v>17.5732405076965</v>
      </c>
      <c r="AS64" s="42" t="n">
        <f aca="false">AR64*Assumptions!$C$70*Assumptions!$C$71</f>
        <v>228.452126600055</v>
      </c>
      <c r="AT64" s="42" t="n">
        <f aca="false">Assumptions!$C$56/12</f>
        <v>100</v>
      </c>
      <c r="AU64" s="42" t="n">
        <f aca="false">IF(A64=1,Assumptions!$C$57,0)+Assumptions!$C$58</f>
        <v>60</v>
      </c>
      <c r="AV64" s="42" t="n">
        <f aca="false">IF(AND(Y64&gt;0,Y64=A64),Assumptions!$C$46,0)+IF(Y64&gt;0,Assumptions!$C$47,0)</f>
        <v>75</v>
      </c>
      <c r="AW64" s="42" t="n">
        <f aca="false">AK64+AL64+AM64+AN64+AO64+AS64+AT64+AU64+AV64</f>
        <v>987.866327159967</v>
      </c>
      <c r="AX64" s="42" t="n">
        <f aca="false">AI64-AW64</f>
        <v>1460.78111450268</v>
      </c>
      <c r="AY64" s="42" t="n">
        <f aca="false">MAX(0,AX64)*Assumptions!$C$73</f>
        <v>438.234334350803</v>
      </c>
      <c r="AZ64" s="42" t="n">
        <f aca="false">AX64-AY64</f>
        <v>1022.54678015187</v>
      </c>
      <c r="BA64" s="42" t="n">
        <f aca="false">BA63+AZ64</f>
        <v>31657.8463853701</v>
      </c>
      <c r="BB64" s="37" t="n">
        <f aca="false">IF(AZ64&gt;=Assumptions!$C$74/12,BB63+1,0)</f>
        <v>0</v>
      </c>
      <c r="BC64" s="37" t="n">
        <f aca="false">IF(OR(BC63=1,BB64&gt;=3),1,0)</f>
        <v>0</v>
      </c>
      <c r="BD64" s="37" t="n">
        <f aca="false">IF(AZ64&gt;=Assumptions!$C$75/12,BD63+1,0)</f>
        <v>0</v>
      </c>
      <c r="BE64" s="39" t="n">
        <f aca="false">AP64*12/52</f>
        <v>22.0553631940838</v>
      </c>
      <c r="BF64" s="39" t="n">
        <f aca="false">AR64*12/52</f>
        <v>4.05536319408381</v>
      </c>
      <c r="BG64" s="37" t="n">
        <f aca="false">IF(AX64&gt;0,A64,999)</f>
        <v>60</v>
      </c>
      <c r="BH64" s="37" t="n">
        <f aca="false">IF(BB64&gt;=3,A64,999)</f>
        <v>999</v>
      </c>
      <c r="BI64" s="37" t="n">
        <f aca="false">IF(BD64&gt;=3,A64,999)</f>
        <v>999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I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61" min="3" style="0" width="11"/>
  </cols>
  <sheetData>
    <row r="1" customFormat="false" ht="15" hidden="false" customHeight="false" outlineLevel="0" collapsed="false">
      <c r="A1" s="30" t="s">
        <v>256</v>
      </c>
    </row>
    <row r="2" customFormat="false" ht="15" hidden="false" customHeight="false" outlineLevel="0" collapsed="false">
      <c r="A2" s="2" t="s">
        <v>197</v>
      </c>
      <c r="D2" s="2" t="s">
        <v>198</v>
      </c>
    </row>
    <row r="4" customFormat="false" ht="54" hidden="false" customHeight="true" outlineLevel="0" collapsed="false">
      <c r="A4" s="16" t="s">
        <v>199</v>
      </c>
      <c r="B4" s="16" t="s">
        <v>200</v>
      </c>
      <c r="C4" s="16" t="s">
        <v>57</v>
      </c>
      <c r="D4" s="16" t="s">
        <v>201</v>
      </c>
      <c r="E4" s="16" t="s">
        <v>202</v>
      </c>
      <c r="F4" s="16" t="s">
        <v>203</v>
      </c>
      <c r="G4" s="16" t="s">
        <v>204</v>
      </c>
      <c r="H4" s="16" t="s">
        <v>205</v>
      </c>
      <c r="I4" s="16" t="s">
        <v>206</v>
      </c>
      <c r="J4" s="16" t="s">
        <v>207</v>
      </c>
      <c r="K4" s="16" t="s">
        <v>208</v>
      </c>
      <c r="L4" s="16" t="s">
        <v>209</v>
      </c>
      <c r="M4" s="16" t="s">
        <v>210</v>
      </c>
      <c r="N4" s="16" t="s">
        <v>211</v>
      </c>
      <c r="O4" s="16" t="s">
        <v>212</v>
      </c>
      <c r="P4" s="16" t="s">
        <v>213</v>
      </c>
      <c r="Q4" s="16" t="s">
        <v>214</v>
      </c>
      <c r="R4" s="16" t="s">
        <v>215</v>
      </c>
      <c r="S4" s="16" t="s">
        <v>216</v>
      </c>
      <c r="T4" s="16" t="s">
        <v>217</v>
      </c>
      <c r="U4" s="16" t="s">
        <v>218</v>
      </c>
      <c r="V4" s="16" t="s">
        <v>11</v>
      </c>
      <c r="W4" s="16" t="s">
        <v>219</v>
      </c>
      <c r="X4" s="16" t="s">
        <v>220</v>
      </c>
      <c r="Y4" s="16" t="s">
        <v>221</v>
      </c>
      <c r="Z4" s="16" t="s">
        <v>222</v>
      </c>
      <c r="AA4" s="16" t="s">
        <v>223</v>
      </c>
      <c r="AB4" s="16" t="s">
        <v>224</v>
      </c>
      <c r="AC4" s="16" t="s">
        <v>225</v>
      </c>
      <c r="AD4" s="16" t="s">
        <v>226</v>
      </c>
      <c r="AE4" s="16" t="s">
        <v>227</v>
      </c>
      <c r="AF4" s="16" t="s">
        <v>228</v>
      </c>
      <c r="AG4" s="16" t="s">
        <v>229</v>
      </c>
      <c r="AH4" s="16" t="s">
        <v>230</v>
      </c>
      <c r="AI4" s="16" t="s">
        <v>17</v>
      </c>
      <c r="AJ4" s="16" t="s">
        <v>231</v>
      </c>
      <c r="AK4" s="16" t="s">
        <v>232</v>
      </c>
      <c r="AL4" s="16" t="s">
        <v>233</v>
      </c>
      <c r="AM4" s="16" t="s">
        <v>234</v>
      </c>
      <c r="AN4" s="16" t="s">
        <v>235</v>
      </c>
      <c r="AO4" s="16" t="s">
        <v>236</v>
      </c>
      <c r="AP4" s="16" t="s">
        <v>237</v>
      </c>
      <c r="AQ4" s="16" t="s">
        <v>238</v>
      </c>
      <c r="AR4" s="16" t="s">
        <v>239</v>
      </c>
      <c r="AS4" s="16" t="s">
        <v>240</v>
      </c>
      <c r="AT4" s="16" t="s">
        <v>241</v>
      </c>
      <c r="AU4" s="16" t="s">
        <v>242</v>
      </c>
      <c r="AV4" s="16" t="s">
        <v>243</v>
      </c>
      <c r="AW4" s="16" t="s">
        <v>244</v>
      </c>
      <c r="AX4" s="16" t="s">
        <v>20</v>
      </c>
      <c r="AY4" s="16" t="s">
        <v>245</v>
      </c>
      <c r="AZ4" s="16" t="s">
        <v>246</v>
      </c>
      <c r="BA4" s="16" t="s">
        <v>247</v>
      </c>
      <c r="BB4" s="16" t="s">
        <v>248</v>
      </c>
      <c r="BC4" s="16" t="s">
        <v>249</v>
      </c>
      <c r="BD4" s="16" t="s">
        <v>250</v>
      </c>
      <c r="BE4" s="16" t="s">
        <v>251</v>
      </c>
      <c r="BF4" s="16" t="s">
        <v>252</v>
      </c>
      <c r="BG4" s="16" t="s">
        <v>253</v>
      </c>
      <c r="BH4" s="16" t="s">
        <v>254</v>
      </c>
      <c r="BI4" s="16" t="s">
        <v>255</v>
      </c>
    </row>
    <row r="5" customFormat="false" ht="15" hidden="false" customHeight="false" outlineLevel="0" collapsed="false">
      <c r="A5" s="31" t="n">
        <v>1</v>
      </c>
      <c r="B5" s="32" t="n">
        <f aca="false">DATE(2026,10+A5,1)</f>
        <v>46327</v>
      </c>
      <c r="C5" s="31" t="n">
        <f aca="false">INT((A5-1)/12)+1</f>
        <v>1</v>
      </c>
      <c r="D5" s="31" t="n">
        <f aca="false">IF(C5=1,Assumptions!$D$7,IF(C5=2,Assumptions!$D$8,Assumptions!$D$9))</f>
        <v>15</v>
      </c>
      <c r="E5" s="31" t="n">
        <f aca="false">D5*Assumptions!$D$10</f>
        <v>315</v>
      </c>
      <c r="F5" s="33" t="n">
        <f aca="false">E5*Assumptions!$D$11</f>
        <v>25.2</v>
      </c>
      <c r="G5" s="34" t="n">
        <f aca="false">MIN(1,Assumptions!$D$13+(1-Assumptions!$D$13)*(A5-1)/Assumptions!$D$14)</f>
        <v>0.5</v>
      </c>
      <c r="H5" s="33" t="n">
        <f aca="false">F5*Assumptions!$D$12*G5</f>
        <v>1.512</v>
      </c>
      <c r="I5" s="33" t="n">
        <f aca="false">Assumptions!$D$15*(0+0+0+0)</f>
        <v>0</v>
      </c>
      <c r="J5" s="33" t="n">
        <f aca="false">H5+I5</f>
        <v>1.512</v>
      </c>
      <c r="K5" s="33" t="n">
        <f aca="false">J5*Assumptions!$D$18</f>
        <v>0</v>
      </c>
      <c r="L5" s="33" t="n">
        <f aca="false">(J5-K5)*Assumptions!$D$17</f>
        <v>1.0584</v>
      </c>
      <c r="M5" s="33" t="n">
        <f aca="false">J5-K5-L5</f>
        <v>0.4536</v>
      </c>
      <c r="N5" s="33" t="n">
        <f aca="false">L5*Assumptions!$D$19</f>
        <v>0.10584</v>
      </c>
      <c r="O5" s="33" t="n">
        <f aca="false">L5-N5</f>
        <v>0.95256</v>
      </c>
      <c r="P5" s="33" t="n">
        <f aca="false">0</f>
        <v>0</v>
      </c>
      <c r="Q5" s="33" t="n">
        <f aca="false">0*(1-Assumptions!$D$20)+O5-P5</f>
        <v>0.95256</v>
      </c>
      <c r="R5" s="33" t="n">
        <f aca="false">0*(1-Assumptions!$D$22)+P5*(1-Assumptions!$D$21)</f>
        <v>0</v>
      </c>
      <c r="S5" s="33" t="n">
        <f aca="false">Q5+R5</f>
        <v>0.95256</v>
      </c>
      <c r="T5" s="33" t="n">
        <f aca="false">0*(1-Assumptions!$D$24)+M5*Assumptions!$D$23</f>
        <v>0.13608</v>
      </c>
      <c r="U5" s="33" t="n">
        <f aca="false">0*(1-Assumptions!$D$25)+K5</f>
        <v>0</v>
      </c>
      <c r="V5" s="33" t="n">
        <f aca="false">0+M5</f>
        <v>0.4536</v>
      </c>
      <c r="W5" s="33" t="n">
        <f aca="false">N5+0*Assumptions!$D$20+P5*Assumptions!$D$21+0*Assumptions!$D$22+0*Assumptions!$D$24+0*Assumptions!$D$25</f>
        <v>0.10584</v>
      </c>
      <c r="X5" s="33" t="n">
        <f aca="false">IF(A5&lt;Assumptions!$D$34,0,Assumptions!$D$36*MIN(1,(A5-Assumptions!$D$34+1)/Assumptions!$D$35))*(S5+T5)</f>
        <v>0</v>
      </c>
      <c r="Y5" s="31" t="n">
        <f aca="false">IF(AND(A5&gt;=Assumptions!$D$41,0+0+0&gt;=Assumptions!$D$40),A5,0)</f>
        <v>0</v>
      </c>
      <c r="Z5" s="33" t="n">
        <f aca="false">IF(Y5&gt;0,Assumptions!$D$42*MIN(1,(A5-Y5+1)/Assumptions!$D$43),0)*(S5+T5)</f>
        <v>0</v>
      </c>
      <c r="AA5" s="35" t="n">
        <f aca="false">(1+Assumptions!$D$32)^(C5-1)</f>
        <v>1</v>
      </c>
      <c r="AB5" s="36" t="n">
        <f aca="false">O5*Assumptions!$D$27*AA5</f>
        <v>94.30344</v>
      </c>
      <c r="AC5" s="36" t="n">
        <f aca="false">(0+0)*Assumptions!$D$28*AA5</f>
        <v>0</v>
      </c>
      <c r="AD5" s="36" t="n">
        <f aca="false">M5*Assumptions!$D$29*AA5</f>
        <v>226.3464</v>
      </c>
      <c r="AE5" s="36" t="n">
        <f aca="false">0*Assumptions!$D$30*AA5</f>
        <v>0</v>
      </c>
      <c r="AF5" s="36" t="n">
        <f aca="false">0*Assumptions!$D$31*AA5</f>
        <v>0</v>
      </c>
      <c r="AG5" s="36" t="n">
        <f aca="false">X5*Assumptions!$D$37*Assumptions!$D$38</f>
        <v>0</v>
      </c>
      <c r="AH5" s="36" t="n">
        <f aca="false">Z5*Assumptions!$D$44*Assumptions!$D$45</f>
        <v>0</v>
      </c>
      <c r="AI5" s="36" t="n">
        <f aca="false">SUM(AB5:AH5)</f>
        <v>320.64984</v>
      </c>
      <c r="AJ5" s="36" t="n">
        <f aca="false">(S5*Assumptions!$D$28+T5*Assumptions!$D$30+U5*Assumptions!$D$31)*AA5+AG5+AH5</f>
        <v>105.05376</v>
      </c>
      <c r="AK5" s="36" t="n">
        <f aca="false">(AI5-AH5)*Assumptions!$D$49</f>
        <v>12.18469392</v>
      </c>
      <c r="AL5" s="36" t="n">
        <f aca="false">(AC5+AE5+AF5)*Assumptions!$D$50</f>
        <v>0</v>
      </c>
      <c r="AM5" s="36" t="n">
        <f aca="false">S5*Assumptions!$D$51+M5*Assumptions!$D$52</f>
        <v>7.9947</v>
      </c>
      <c r="AN5" s="36" t="n">
        <f aca="false">Assumptions!$D$53+Assumptions!$D$54*(S5+T5+U5)</f>
        <v>153.26592</v>
      </c>
      <c r="AO5" s="36" t="n">
        <f aca="false">IF(C5&gt;=2,Assumptions!$D$55,0)</f>
        <v>0</v>
      </c>
      <c r="AP5" s="33" t="n">
        <f aca="false">E5*Assumptions!$D$60/60+F5*Assumptions!$D$61+J5*Assumptions!$D$62+(S5+T5)*Assumptions!$D$63+X5*Assumptions!$D$64+Z5*Assumptions!$D$65+U5*Assumptions!$D$66+Assumptions!$D$67*52/12</f>
        <v>46.00696</v>
      </c>
      <c r="AQ5" s="33" t="n">
        <f aca="false">IF(0=1,Assumptions!$D$69,Assumptions!$D$68)*52/12</f>
        <v>108.333333333333</v>
      </c>
      <c r="AR5" s="33" t="n">
        <f aca="false">MAX(0,AP5-AQ5)</f>
        <v>0</v>
      </c>
      <c r="AS5" s="36" t="n">
        <f aca="false">AR5*Assumptions!$D$70*Assumptions!$D$71</f>
        <v>0</v>
      </c>
      <c r="AT5" s="36" t="n">
        <f aca="false">Assumptions!$D$56/12</f>
        <v>75</v>
      </c>
      <c r="AU5" s="36" t="n">
        <f aca="false">IF(A5=1,Assumptions!$D$57,0)+Assumptions!$D$58</f>
        <v>345</v>
      </c>
      <c r="AV5" s="36" t="n">
        <f aca="false">IF(AND(Y5&gt;0,Y5=A5),Assumptions!$D$46,0)+IF(Y5&gt;0,Assumptions!$D$47,0)</f>
        <v>0</v>
      </c>
      <c r="AW5" s="36" t="n">
        <f aca="false">AK5+AL5+AM5+AN5+AO5+AS5+AT5+AU5+AV5</f>
        <v>593.44531392</v>
      </c>
      <c r="AX5" s="36" t="n">
        <f aca="false">AI5-AW5</f>
        <v>-272.79547392</v>
      </c>
      <c r="AY5" s="36" t="n">
        <f aca="false">MAX(0,AX5)*Assumptions!$D$73</f>
        <v>0</v>
      </c>
      <c r="AZ5" s="36" t="n">
        <f aca="false">AX5-AY5</f>
        <v>-272.79547392</v>
      </c>
      <c r="BA5" s="36" t="n">
        <f aca="false">0+AZ5</f>
        <v>-272.79547392</v>
      </c>
      <c r="BB5" s="31" t="n">
        <f aca="false">IF(AZ5&gt;=Assumptions!$D$74/12,0+1,0)</f>
        <v>0</v>
      </c>
      <c r="BC5" s="31" t="n">
        <f aca="false">IF(OR(0=1,BB5&gt;=3),1,0)</f>
        <v>0</v>
      </c>
      <c r="BD5" s="31" t="n">
        <f aca="false">IF(AZ5&gt;=Assumptions!$D$75/12,0+1,0)</f>
        <v>0</v>
      </c>
      <c r="BE5" s="33" t="n">
        <f aca="false">AP5*12/52</f>
        <v>10.6169907692308</v>
      </c>
      <c r="BF5" s="33" t="n">
        <f aca="false">AR5*12/52</f>
        <v>0</v>
      </c>
      <c r="BG5" s="31" t="n">
        <f aca="false">IF(AX5&gt;0,A5,999)</f>
        <v>999</v>
      </c>
      <c r="BH5" s="31" t="n">
        <f aca="false">IF(BB5&gt;=3,A5,999)</f>
        <v>999</v>
      </c>
      <c r="BI5" s="31" t="n">
        <f aca="false">IF(BD5&gt;=3,A5,999)</f>
        <v>999</v>
      </c>
    </row>
    <row r="6" customFormat="false" ht="15" hidden="false" customHeight="false" outlineLevel="0" collapsed="false">
      <c r="A6" s="31" t="n">
        <v>2</v>
      </c>
      <c r="B6" s="32" t="n">
        <f aca="false">DATE(2026,10+A6,1)</f>
        <v>46357</v>
      </c>
      <c r="C6" s="31" t="n">
        <f aca="false">INT((A6-1)/12)+1</f>
        <v>1</v>
      </c>
      <c r="D6" s="31" t="n">
        <f aca="false">IF(C6=1,Assumptions!$D$7,IF(C6=2,Assumptions!$D$8,Assumptions!$D$9))</f>
        <v>15</v>
      </c>
      <c r="E6" s="31" t="n">
        <f aca="false">D6*Assumptions!$D$10</f>
        <v>315</v>
      </c>
      <c r="F6" s="33" t="n">
        <f aca="false">E6*Assumptions!$D$11</f>
        <v>25.2</v>
      </c>
      <c r="G6" s="34" t="n">
        <f aca="false">MIN(1,Assumptions!$D$13+(1-Assumptions!$D$13)*(A6-1)/Assumptions!$D$14)</f>
        <v>0.583333333333333</v>
      </c>
      <c r="H6" s="33" t="n">
        <f aca="false">F6*Assumptions!$D$12*G6</f>
        <v>1.764</v>
      </c>
      <c r="I6" s="33" t="n">
        <f aca="false">Assumptions!$D$15*(Q5+R5+T5+U5)</f>
        <v>0.0108864</v>
      </c>
      <c r="J6" s="33" t="n">
        <f aca="false">H6+I6</f>
        <v>1.7748864</v>
      </c>
      <c r="K6" s="33" t="n">
        <f aca="false">J6*Assumptions!$D$18</f>
        <v>0</v>
      </c>
      <c r="L6" s="33" t="n">
        <f aca="false">(J6-K6)*Assumptions!$D$17</f>
        <v>1.24242048</v>
      </c>
      <c r="M6" s="33" t="n">
        <f aca="false">J6-K6-L6</f>
        <v>0.53246592</v>
      </c>
      <c r="N6" s="33" t="n">
        <f aca="false">L6*Assumptions!$D$19</f>
        <v>0.124242048</v>
      </c>
      <c r="O6" s="33" t="n">
        <f aca="false">L6-N6</f>
        <v>1.118178432</v>
      </c>
      <c r="P6" s="33" t="n">
        <f aca="false">0</f>
        <v>0</v>
      </c>
      <c r="Q6" s="33" t="n">
        <f aca="false">Q5*(1-Assumptions!$D$20)+O6-P6</f>
        <v>2.061212832</v>
      </c>
      <c r="R6" s="33" t="n">
        <f aca="false">R5*(1-Assumptions!$D$22)+P6*(1-Assumptions!$D$21)</f>
        <v>0</v>
      </c>
      <c r="S6" s="33" t="n">
        <f aca="false">Q6+R6</f>
        <v>2.061212832</v>
      </c>
      <c r="T6" s="33" t="n">
        <f aca="false">T5*(1-Assumptions!$D$24)+M6*Assumptions!$D$23</f>
        <v>0.289696176</v>
      </c>
      <c r="U6" s="33" t="n">
        <f aca="false">U5*(1-Assumptions!$D$25)+K6</f>
        <v>0</v>
      </c>
      <c r="V6" s="33" t="n">
        <f aca="false">V5+M6</f>
        <v>0.98606592</v>
      </c>
      <c r="W6" s="33" t="n">
        <f aca="false">N6+Q5*Assumptions!$D$20+P6*Assumptions!$D$21+R5*Assumptions!$D$22+T5*Assumptions!$D$24+U5*Assumptions!$D$25</f>
        <v>0.139891248</v>
      </c>
      <c r="X6" s="33" t="n">
        <f aca="false">IF(A6&lt;Assumptions!$D$34,0,Assumptions!$D$36*MIN(1,(A6-Assumptions!$D$34+1)/Assumptions!$D$35))*(S6+T6)</f>
        <v>0</v>
      </c>
      <c r="Y6" s="31" t="n">
        <f aca="false">IF(Y5&gt;0,Y5,IF(AND(A6&gt;=Assumptions!$D$41,Q5+R5+T5&gt;=Assumptions!$D$40),A6,0))</f>
        <v>0</v>
      </c>
      <c r="Z6" s="33" t="n">
        <f aca="false">IF(Y6&gt;0,Assumptions!$D$42*MIN(1,(A6-Y6+1)/Assumptions!$D$43),0)*(S6+T6)</f>
        <v>0</v>
      </c>
      <c r="AA6" s="35" t="n">
        <f aca="false">(1+Assumptions!$D$32)^(C6-1)</f>
        <v>1</v>
      </c>
      <c r="AB6" s="36" t="n">
        <f aca="false">O6*Assumptions!$D$27*AA6</f>
        <v>110.699664768</v>
      </c>
      <c r="AC6" s="36" t="n">
        <f aca="false">(Q5+R5)*Assumptions!$D$28*AA6</f>
        <v>94.30344</v>
      </c>
      <c r="AD6" s="36" t="n">
        <f aca="false">M6*Assumptions!$D$29*AA6</f>
        <v>265.70049408</v>
      </c>
      <c r="AE6" s="36" t="n">
        <f aca="false">T5*Assumptions!$D$30*AA6</f>
        <v>10.75032</v>
      </c>
      <c r="AF6" s="36" t="n">
        <f aca="false">U5*Assumptions!$D$31*AA6</f>
        <v>0</v>
      </c>
      <c r="AG6" s="36" t="n">
        <f aca="false">X6*Assumptions!$D$37*Assumptions!$D$38</f>
        <v>0</v>
      </c>
      <c r="AH6" s="36" t="n">
        <f aca="false">Z6*Assumptions!$D$44*Assumptions!$D$45</f>
        <v>0</v>
      </c>
      <c r="AI6" s="36" t="n">
        <f aca="false">SUM(AB6:AH6)</f>
        <v>481.453918848</v>
      </c>
      <c r="AJ6" s="36" t="n">
        <f aca="false">(S6*Assumptions!$D$28+T6*Assumptions!$D$30+U6*Assumptions!$D$31)*AA6+AG6+AH6</f>
        <v>226.946068272</v>
      </c>
      <c r="AK6" s="36" t="n">
        <f aca="false">(AI6-AH6)*Assumptions!$D$49</f>
        <v>18.295248916224</v>
      </c>
      <c r="AL6" s="36" t="n">
        <f aca="false">(AC6+AE6+AF6)*Assumptions!$D$50</f>
        <v>0.73537632</v>
      </c>
      <c r="AM6" s="36" t="n">
        <f aca="false">S6*Assumptions!$D$51+M6*Assumptions!$D$52</f>
        <v>10.56350484</v>
      </c>
      <c r="AN6" s="36" t="n">
        <f aca="false">Assumptions!$D$53+Assumptions!$D$54*(S6+T6+U6)</f>
        <v>157.052727024</v>
      </c>
      <c r="AO6" s="36" t="n">
        <f aca="false">IF(C6&gt;=2,Assumptions!$D$55,0)</f>
        <v>0</v>
      </c>
      <c r="AP6" s="33" t="n">
        <f aca="false">E6*Assumptions!$D$60/60+F6*Assumptions!$D$61+J6*Assumptions!$D$62+(S6+T6)*Assumptions!$D$63+X6*Assumptions!$D$64+Z6*Assumptions!$D$65+U6*Assumptions!$D$66+Assumptions!$D$67*52/12</f>
        <v>48.426136312</v>
      </c>
      <c r="AQ6" s="33" t="n">
        <f aca="false">IF(BC5=1,Assumptions!$D$69,Assumptions!$D$68)*52/12</f>
        <v>108.333333333333</v>
      </c>
      <c r="AR6" s="33" t="n">
        <f aca="false">MAX(0,AP6-AQ6)</f>
        <v>0</v>
      </c>
      <c r="AS6" s="36" t="n">
        <f aca="false">AR6*Assumptions!$D$70*Assumptions!$D$71</f>
        <v>0</v>
      </c>
      <c r="AT6" s="36" t="n">
        <f aca="false">Assumptions!$D$56/12</f>
        <v>75</v>
      </c>
      <c r="AU6" s="36" t="n">
        <f aca="false">IF(A6=1,Assumptions!$D$57,0)+Assumptions!$D$58</f>
        <v>45</v>
      </c>
      <c r="AV6" s="36" t="n">
        <f aca="false">IF(AND(Y6&gt;0,Y6=A6),Assumptions!$D$46,0)+IF(Y6&gt;0,Assumptions!$D$47,0)</f>
        <v>0</v>
      </c>
      <c r="AW6" s="36" t="n">
        <f aca="false">AK6+AL6+AM6+AN6+AO6+AS6+AT6+AU6+AV6</f>
        <v>306.646857100224</v>
      </c>
      <c r="AX6" s="36" t="n">
        <f aca="false">AI6-AW6</f>
        <v>174.807061747776</v>
      </c>
      <c r="AY6" s="36" t="n">
        <f aca="false">MAX(0,AX6)*Assumptions!$D$73</f>
        <v>48.9459772893773</v>
      </c>
      <c r="AZ6" s="36" t="n">
        <f aca="false">AX6-AY6</f>
        <v>125.861084458399</v>
      </c>
      <c r="BA6" s="36" t="n">
        <f aca="false">BA5+AZ6</f>
        <v>-146.934389461601</v>
      </c>
      <c r="BB6" s="31" t="n">
        <f aca="false">IF(AZ6&gt;=Assumptions!$D$74/12,BB5+1,0)</f>
        <v>0</v>
      </c>
      <c r="BC6" s="31" t="n">
        <f aca="false">IF(OR(BC5=1,BB6&gt;=3),1,0)</f>
        <v>0</v>
      </c>
      <c r="BD6" s="31" t="n">
        <f aca="false">IF(AZ6&gt;=Assumptions!$D$75/12,BD5+1,0)</f>
        <v>0</v>
      </c>
      <c r="BE6" s="33" t="n">
        <f aca="false">AP6*12/52</f>
        <v>11.1752622258462</v>
      </c>
      <c r="BF6" s="33" t="n">
        <f aca="false">AR6*12/52</f>
        <v>0</v>
      </c>
      <c r="BG6" s="31" t="n">
        <f aca="false">IF(AX6&gt;0,A6,999)</f>
        <v>2</v>
      </c>
      <c r="BH6" s="31" t="n">
        <f aca="false">IF(BB6&gt;=3,A6,999)</f>
        <v>999</v>
      </c>
      <c r="BI6" s="31" t="n">
        <f aca="false">IF(BD6&gt;=3,A6,999)</f>
        <v>999</v>
      </c>
    </row>
    <row r="7" customFormat="false" ht="15" hidden="false" customHeight="false" outlineLevel="0" collapsed="false">
      <c r="A7" s="31" t="n">
        <v>3</v>
      </c>
      <c r="B7" s="32" t="n">
        <f aca="false">DATE(2026,10+A7,1)</f>
        <v>46388</v>
      </c>
      <c r="C7" s="31" t="n">
        <f aca="false">INT((A7-1)/12)+1</f>
        <v>1</v>
      </c>
      <c r="D7" s="31" t="n">
        <f aca="false">IF(C7=1,Assumptions!$D$7,IF(C7=2,Assumptions!$D$8,Assumptions!$D$9))</f>
        <v>15</v>
      </c>
      <c r="E7" s="31" t="n">
        <f aca="false">D7*Assumptions!$D$10</f>
        <v>315</v>
      </c>
      <c r="F7" s="33" t="n">
        <f aca="false">E7*Assumptions!$D$11</f>
        <v>25.2</v>
      </c>
      <c r="G7" s="34" t="n">
        <f aca="false">MIN(1,Assumptions!$D$13+(1-Assumptions!$D$13)*(A7-1)/Assumptions!$D$14)</f>
        <v>0.666666666666667</v>
      </c>
      <c r="H7" s="33" t="n">
        <f aca="false">F7*Assumptions!$D$12*G7</f>
        <v>2.016</v>
      </c>
      <c r="I7" s="33" t="n">
        <f aca="false">Assumptions!$D$15*(Q6+R6+T6+U6)</f>
        <v>0.02350909008</v>
      </c>
      <c r="J7" s="33" t="n">
        <f aca="false">H7+I7</f>
        <v>2.03950909008</v>
      </c>
      <c r="K7" s="33" t="n">
        <f aca="false">J7*Assumptions!$D$18</f>
        <v>0</v>
      </c>
      <c r="L7" s="33" t="n">
        <f aca="false">(J7-K7)*Assumptions!$D$17</f>
        <v>1.427656363056</v>
      </c>
      <c r="M7" s="33" t="n">
        <f aca="false">J7-K7-L7</f>
        <v>0.611852727024</v>
      </c>
      <c r="N7" s="33" t="n">
        <f aca="false">L7*Assumptions!$D$19</f>
        <v>0.1427656363056</v>
      </c>
      <c r="O7" s="33" t="n">
        <f aca="false">L7-N7</f>
        <v>1.2848907267504</v>
      </c>
      <c r="P7" s="33" t="n">
        <f aca="false">0</f>
        <v>0</v>
      </c>
      <c r="Q7" s="33" t="n">
        <f aca="false">Q6*(1-Assumptions!$D$20)+O7-P7</f>
        <v>3.3254914304304</v>
      </c>
      <c r="R7" s="33" t="n">
        <f aca="false">R6*(1-Assumptions!$D$22)+P7*(1-Assumptions!$D$21)</f>
        <v>0</v>
      </c>
      <c r="S7" s="33" t="n">
        <f aca="false">Q7+R7</f>
        <v>3.3254914304304</v>
      </c>
      <c r="T7" s="33" t="n">
        <f aca="false">T6*(1-Assumptions!$D$24)+M7*Assumptions!$D$23</f>
        <v>0.4602156661872</v>
      </c>
      <c r="U7" s="33" t="n">
        <f aca="false">U6*(1-Assumptions!$D$25)+K7</f>
        <v>0</v>
      </c>
      <c r="V7" s="33" t="n">
        <f aca="false">V6+M7</f>
        <v>1.597918647024</v>
      </c>
      <c r="W7" s="33" t="n">
        <f aca="false">N7+Q6*Assumptions!$D$20+P7*Assumptions!$D$21+R6*Assumptions!$D$22+T6*Assumptions!$D$24+U6*Assumptions!$D$25</f>
        <v>0.1764140925456</v>
      </c>
      <c r="X7" s="33" t="n">
        <f aca="false">IF(A7&lt;Assumptions!$D$34,0,Assumptions!$D$36*MIN(1,(A7-Assumptions!$D$34+1)/Assumptions!$D$35))*(S7+T7)</f>
        <v>0</v>
      </c>
      <c r="Y7" s="31" t="n">
        <f aca="false">IF(Y6&gt;0,Y6,IF(AND(A7&gt;=Assumptions!$D$41,Q6+R6+T6&gt;=Assumptions!$D$40),A7,0))</f>
        <v>0</v>
      </c>
      <c r="Z7" s="33" t="n">
        <f aca="false">IF(Y7&gt;0,Assumptions!$D$42*MIN(1,(A7-Y7+1)/Assumptions!$D$43),0)*(S7+T7)</f>
        <v>0</v>
      </c>
      <c r="AA7" s="35" t="n">
        <f aca="false">(1+Assumptions!$D$32)^(C7-1)</f>
        <v>1</v>
      </c>
      <c r="AB7" s="36" t="n">
        <f aca="false">O7*Assumptions!$D$27*AA7</f>
        <v>127.20418194829</v>
      </c>
      <c r="AC7" s="36" t="n">
        <f aca="false">(Q6+R6)*Assumptions!$D$28*AA7</f>
        <v>204.060070368</v>
      </c>
      <c r="AD7" s="36" t="n">
        <f aca="false">M7*Assumptions!$D$29*AA7</f>
        <v>305.314510784976</v>
      </c>
      <c r="AE7" s="36" t="n">
        <f aca="false">T6*Assumptions!$D$30*AA7</f>
        <v>22.885997904</v>
      </c>
      <c r="AF7" s="36" t="n">
        <f aca="false">U6*Assumptions!$D$31*AA7</f>
        <v>0</v>
      </c>
      <c r="AG7" s="36" t="n">
        <f aca="false">X7*Assumptions!$D$37*Assumptions!$D$38</f>
        <v>0</v>
      </c>
      <c r="AH7" s="36" t="n">
        <f aca="false">Z7*Assumptions!$D$44*Assumptions!$D$45</f>
        <v>0</v>
      </c>
      <c r="AI7" s="36" t="n">
        <f aca="false">SUM(AB7:AH7)</f>
        <v>659.464761005266</v>
      </c>
      <c r="AJ7" s="36" t="n">
        <f aca="false">(S7*Assumptions!$D$28+T7*Assumptions!$D$30+U7*Assumptions!$D$31)*AA7+AG7+AH7</f>
        <v>365.580689241398</v>
      </c>
      <c r="AK7" s="36" t="n">
        <f aca="false">(AI7-AH7)*Assumptions!$D$49</f>
        <v>25.0596609182001</v>
      </c>
      <c r="AL7" s="36" t="n">
        <f aca="false">(AC7+AE7+AF7)*Assumptions!$D$50</f>
        <v>1.588622477904</v>
      </c>
      <c r="AM7" s="36" t="n">
        <f aca="false">S7*Assumptions!$D$51+M7*Assumptions!$D$52</f>
        <v>13.334655193398</v>
      </c>
      <c r="AN7" s="36" t="n">
        <f aca="false">Assumptions!$D$53+Assumptions!$D$54*(S7+T7+U7)</f>
        <v>161.357121289853</v>
      </c>
      <c r="AO7" s="36" t="n">
        <f aca="false">IF(C7&gt;=2,Assumptions!$D$55,0)</f>
        <v>0</v>
      </c>
      <c r="AP7" s="33" t="n">
        <f aca="false">E7*Assumptions!$D$60/60+F7*Assumptions!$D$61+J7*Assumptions!$D$62+(S7+T7)*Assumptions!$D$63+X7*Assumptions!$D$64+Z7*Assumptions!$D$65+U7*Assumptions!$D$66+Assumptions!$D$67*52/12</f>
        <v>51.1075788250864</v>
      </c>
      <c r="AQ7" s="33" t="n">
        <f aca="false">IF(BC6=1,Assumptions!$D$69,Assumptions!$D$68)*52/12</f>
        <v>108.333333333333</v>
      </c>
      <c r="AR7" s="33" t="n">
        <f aca="false">MAX(0,AP7-AQ7)</f>
        <v>0</v>
      </c>
      <c r="AS7" s="36" t="n">
        <f aca="false">AR7*Assumptions!$D$70*Assumptions!$D$71</f>
        <v>0</v>
      </c>
      <c r="AT7" s="36" t="n">
        <f aca="false">Assumptions!$D$56/12</f>
        <v>75</v>
      </c>
      <c r="AU7" s="36" t="n">
        <f aca="false">IF(A7=1,Assumptions!$D$57,0)+Assumptions!$D$58</f>
        <v>45</v>
      </c>
      <c r="AV7" s="36" t="n">
        <f aca="false">IF(AND(Y7&gt;0,Y7=A7),Assumptions!$D$46,0)+IF(Y7&gt;0,Assumptions!$D$47,0)</f>
        <v>0</v>
      </c>
      <c r="AW7" s="36" t="n">
        <f aca="false">AK7+AL7+AM7+AN7+AO7+AS7+AT7+AU7+AV7</f>
        <v>321.340059879355</v>
      </c>
      <c r="AX7" s="36" t="n">
        <f aca="false">AI7-AW7</f>
        <v>338.124701125911</v>
      </c>
      <c r="AY7" s="36" t="n">
        <f aca="false">MAX(0,AX7)*Assumptions!$D$73</f>
        <v>94.674916315255</v>
      </c>
      <c r="AZ7" s="36" t="n">
        <f aca="false">AX7-AY7</f>
        <v>243.449784810656</v>
      </c>
      <c r="BA7" s="36" t="n">
        <f aca="false">BA6+AZ7</f>
        <v>96.5153953490545</v>
      </c>
      <c r="BB7" s="31" t="n">
        <f aca="false">IF(AZ7&gt;=Assumptions!$D$74/12,BB6+1,0)</f>
        <v>0</v>
      </c>
      <c r="BC7" s="31" t="n">
        <f aca="false">IF(OR(BC6=1,BB7&gt;=3),1,0)</f>
        <v>0</v>
      </c>
      <c r="BD7" s="31" t="n">
        <f aca="false">IF(AZ7&gt;=Assumptions!$D$75/12,BD6+1,0)</f>
        <v>0</v>
      </c>
      <c r="BE7" s="33" t="n">
        <f aca="false">AP7*12/52</f>
        <v>11.794056651943</v>
      </c>
      <c r="BF7" s="33" t="n">
        <f aca="false">AR7*12/52</f>
        <v>0</v>
      </c>
      <c r="BG7" s="31" t="n">
        <f aca="false">IF(AX7&gt;0,A7,999)</f>
        <v>3</v>
      </c>
      <c r="BH7" s="31" t="n">
        <f aca="false">IF(BB7&gt;=3,A7,999)</f>
        <v>999</v>
      </c>
      <c r="BI7" s="31" t="n">
        <f aca="false">IF(BD7&gt;=3,A7,999)</f>
        <v>999</v>
      </c>
    </row>
    <row r="8" customFormat="false" ht="15" hidden="false" customHeight="false" outlineLevel="0" collapsed="false">
      <c r="A8" s="31" t="n">
        <v>4</v>
      </c>
      <c r="B8" s="32" t="n">
        <f aca="false">DATE(2026,10+A8,1)</f>
        <v>46419</v>
      </c>
      <c r="C8" s="31" t="n">
        <f aca="false">INT((A8-1)/12)+1</f>
        <v>1</v>
      </c>
      <c r="D8" s="31" t="n">
        <f aca="false">IF(C8=1,Assumptions!$D$7,IF(C8=2,Assumptions!$D$8,Assumptions!$D$9))</f>
        <v>15</v>
      </c>
      <c r="E8" s="31" t="n">
        <f aca="false">D8*Assumptions!$D$10</f>
        <v>315</v>
      </c>
      <c r="F8" s="33" t="n">
        <f aca="false">E8*Assumptions!$D$11</f>
        <v>25.2</v>
      </c>
      <c r="G8" s="34" t="n">
        <f aca="false">MIN(1,Assumptions!$D$13+(1-Assumptions!$D$13)*(A8-1)/Assumptions!$D$14)</f>
        <v>0.75</v>
      </c>
      <c r="H8" s="33" t="n">
        <f aca="false">F8*Assumptions!$D$12*G8</f>
        <v>2.268</v>
      </c>
      <c r="I8" s="33" t="n">
        <f aca="false">Assumptions!$D$15*(Q7+R7+T7+U7)</f>
        <v>0.037857070966176</v>
      </c>
      <c r="J8" s="33" t="n">
        <f aca="false">H8+I8</f>
        <v>2.30585707096618</v>
      </c>
      <c r="K8" s="33" t="n">
        <f aca="false">J8*Assumptions!$D$18</f>
        <v>0</v>
      </c>
      <c r="L8" s="33" t="n">
        <f aca="false">(J8-K8)*Assumptions!$D$17</f>
        <v>1.61409994967632</v>
      </c>
      <c r="M8" s="33" t="n">
        <f aca="false">J8-K8-L8</f>
        <v>0.691757121289853</v>
      </c>
      <c r="N8" s="33" t="n">
        <f aca="false">L8*Assumptions!$D$19</f>
        <v>0.161409994967632</v>
      </c>
      <c r="O8" s="33" t="n">
        <f aca="false">L8-N8</f>
        <v>1.45268995470869</v>
      </c>
      <c r="P8" s="33" t="n">
        <f aca="false">0</f>
        <v>0</v>
      </c>
      <c r="Q8" s="33" t="n">
        <f aca="false">Q7*(1-Assumptions!$D$20)+O8-P8</f>
        <v>4.74492647083479</v>
      </c>
      <c r="R8" s="33" t="n">
        <f aca="false">R7*(1-Assumptions!$D$22)+P8*(1-Assumptions!$D$21)</f>
        <v>0</v>
      </c>
      <c r="S8" s="33" t="n">
        <f aca="false">Q8+R8</f>
        <v>4.74492647083479</v>
      </c>
      <c r="T8" s="33" t="n">
        <f aca="false">T7*(1-Assumptions!$D$24)+M8*Assumptions!$D$23</f>
        <v>0.647033097595732</v>
      </c>
      <c r="U8" s="33" t="n">
        <f aca="false">U7*(1-Assumptions!$D$25)+K8</f>
        <v>0</v>
      </c>
      <c r="V8" s="33" t="n">
        <f aca="false">V7+M8</f>
        <v>2.28967576831385</v>
      </c>
      <c r="W8" s="33" t="n">
        <f aca="false">N8+Q7*Assumptions!$D$20+P8*Assumptions!$D$21+R7*Assumptions!$D$22+T7*Assumptions!$D$24+U7*Assumptions!$D$25</f>
        <v>0.21537461425036</v>
      </c>
      <c r="X8" s="33" t="n">
        <f aca="false">IF(A8&lt;Assumptions!$D$34,0,Assumptions!$D$36*MIN(1,(A8-Assumptions!$D$34+1)/Assumptions!$D$35))*(S8+T8)</f>
        <v>0.179731985614351</v>
      </c>
      <c r="Y8" s="31" t="n">
        <f aca="false">IF(Y7&gt;0,Y7,IF(AND(A8&gt;=Assumptions!$D$41,Q7+R7+T7&gt;=Assumptions!$D$40),A8,0))</f>
        <v>0</v>
      </c>
      <c r="Z8" s="33" t="n">
        <f aca="false">IF(Y8&gt;0,Assumptions!$D$42*MIN(1,(A8-Y8+1)/Assumptions!$D$43),0)*(S8+T8)</f>
        <v>0</v>
      </c>
      <c r="AA8" s="35" t="n">
        <f aca="false">(1+Assumptions!$D$32)^(C8-1)</f>
        <v>1</v>
      </c>
      <c r="AB8" s="36" t="n">
        <f aca="false">O8*Assumptions!$D$27*AA8</f>
        <v>143.81630551616</v>
      </c>
      <c r="AC8" s="36" t="n">
        <f aca="false">(Q7+R7)*Assumptions!$D$28*AA8</f>
        <v>329.22365161261</v>
      </c>
      <c r="AD8" s="36" t="n">
        <f aca="false">M8*Assumptions!$D$29*AA8</f>
        <v>345.186803523637</v>
      </c>
      <c r="AE8" s="36" t="n">
        <f aca="false">T7*Assumptions!$D$30*AA8</f>
        <v>36.3570376287888</v>
      </c>
      <c r="AF8" s="36" t="n">
        <f aca="false">U7*Assumptions!$D$31*AA8</f>
        <v>0</v>
      </c>
      <c r="AG8" s="36" t="n">
        <f aca="false">X8*Assumptions!$D$37*Assumptions!$D$38</f>
        <v>12.5812389930045</v>
      </c>
      <c r="AH8" s="36" t="n">
        <f aca="false">Z8*Assumptions!$D$44*Assumptions!$D$45</f>
        <v>0</v>
      </c>
      <c r="AI8" s="36" t="n">
        <f aca="false">SUM(AB8:AH8)</f>
        <v>867.1650372742</v>
      </c>
      <c r="AJ8" s="36" t="n">
        <f aca="false">(S8*Assumptions!$D$28+T8*Assumptions!$D$30+U8*Assumptions!$D$31)*AA8+AG8+AH8</f>
        <v>533.444574315711</v>
      </c>
      <c r="AK8" s="36" t="n">
        <f aca="false">(AI8-AH8)*Assumptions!$D$49</f>
        <v>32.9522714164196</v>
      </c>
      <c r="AL8" s="36" t="n">
        <f aca="false">(AC8+AE8+AF8)*Assumptions!$D$50</f>
        <v>2.55906482468979</v>
      </c>
      <c r="AM8" s="36" t="n">
        <f aca="false">S8*Assumptions!$D$51+M8*Assumptions!$D$52</f>
        <v>16.3075149078913</v>
      </c>
      <c r="AN8" s="36" t="n">
        <f aca="false">Assumptions!$D$53+Assumptions!$D$54*(S8+T8+U8)</f>
        <v>166.175878705292</v>
      </c>
      <c r="AO8" s="36" t="n">
        <f aca="false">IF(C8&gt;=2,Assumptions!$D$55,0)</f>
        <v>0</v>
      </c>
      <c r="AP8" s="33" t="n">
        <f aca="false">E8*Assumptions!$D$60/60+F8*Assumptions!$D$61+J8*Assumptions!$D$62+(S8+T8)*Assumptions!$D$63+X8*Assumptions!$D$64+Z8*Assumptions!$D$65+U8*Assumptions!$D$66+Assumptions!$D$67*52/12</f>
        <v>54.2293854801925</v>
      </c>
      <c r="AQ8" s="33" t="n">
        <f aca="false">IF(BC7=1,Assumptions!$D$69,Assumptions!$D$68)*52/12</f>
        <v>108.333333333333</v>
      </c>
      <c r="AR8" s="33" t="n">
        <f aca="false">MAX(0,AP8-AQ8)</f>
        <v>0</v>
      </c>
      <c r="AS8" s="36" t="n">
        <f aca="false">AR8*Assumptions!$D$70*Assumptions!$D$71</f>
        <v>0</v>
      </c>
      <c r="AT8" s="36" t="n">
        <f aca="false">Assumptions!$D$56/12</f>
        <v>75</v>
      </c>
      <c r="AU8" s="36" t="n">
        <f aca="false">IF(A8=1,Assumptions!$D$57,0)+Assumptions!$D$58</f>
        <v>45</v>
      </c>
      <c r="AV8" s="36" t="n">
        <f aca="false">IF(AND(Y8&gt;0,Y8=A8),Assumptions!$D$46,0)+IF(Y8&gt;0,Assumptions!$D$47,0)</f>
        <v>0</v>
      </c>
      <c r="AW8" s="36" t="n">
        <f aca="false">AK8+AL8+AM8+AN8+AO8+AS8+AT8+AU8+AV8</f>
        <v>337.994729854292</v>
      </c>
      <c r="AX8" s="36" t="n">
        <f aca="false">AI8-AW8</f>
        <v>529.170307419908</v>
      </c>
      <c r="AY8" s="36" t="n">
        <f aca="false">MAX(0,AX8)*Assumptions!$D$73</f>
        <v>148.167686077574</v>
      </c>
      <c r="AZ8" s="36" t="n">
        <f aca="false">AX8-AY8</f>
        <v>381.002621342334</v>
      </c>
      <c r="BA8" s="36" t="n">
        <f aca="false">BA7+AZ8</f>
        <v>477.518016691388</v>
      </c>
      <c r="BB8" s="31" t="n">
        <f aca="false">IF(AZ8&gt;=Assumptions!$D$74/12,BB7+1,0)</f>
        <v>0</v>
      </c>
      <c r="BC8" s="31" t="n">
        <f aca="false">IF(OR(BC7=1,BB8&gt;=3),1,0)</f>
        <v>0</v>
      </c>
      <c r="BD8" s="31" t="n">
        <f aca="false">IF(AZ8&gt;=Assumptions!$D$75/12,BD7+1,0)</f>
        <v>0</v>
      </c>
      <c r="BE8" s="33" t="n">
        <f aca="false">AP8*12/52</f>
        <v>12.5144735723521</v>
      </c>
      <c r="BF8" s="33" t="n">
        <f aca="false">AR8*12/52</f>
        <v>0</v>
      </c>
      <c r="BG8" s="31" t="n">
        <f aca="false">IF(AX8&gt;0,A8,999)</f>
        <v>4</v>
      </c>
      <c r="BH8" s="31" t="n">
        <f aca="false">IF(BB8&gt;=3,A8,999)</f>
        <v>999</v>
      </c>
      <c r="BI8" s="31" t="n">
        <f aca="false">IF(BD8&gt;=3,A8,999)</f>
        <v>999</v>
      </c>
    </row>
    <row r="9" customFormat="false" ht="15" hidden="false" customHeight="false" outlineLevel="0" collapsed="false">
      <c r="A9" s="31" t="n">
        <v>5</v>
      </c>
      <c r="B9" s="32" t="n">
        <f aca="false">DATE(2026,10+A9,1)</f>
        <v>46447</v>
      </c>
      <c r="C9" s="31" t="n">
        <f aca="false">INT((A9-1)/12)+1</f>
        <v>1</v>
      </c>
      <c r="D9" s="31" t="n">
        <f aca="false">IF(C9=1,Assumptions!$D$7,IF(C9=2,Assumptions!$D$8,Assumptions!$D$9))</f>
        <v>15</v>
      </c>
      <c r="E9" s="31" t="n">
        <f aca="false">D9*Assumptions!$D$10</f>
        <v>315</v>
      </c>
      <c r="F9" s="33" t="n">
        <f aca="false">E9*Assumptions!$D$11</f>
        <v>25.2</v>
      </c>
      <c r="G9" s="34" t="n">
        <f aca="false">MIN(1,Assumptions!$D$13+(1-Assumptions!$D$13)*(A9-1)/Assumptions!$D$14)</f>
        <v>0.833333333333333</v>
      </c>
      <c r="H9" s="33" t="n">
        <f aca="false">F9*Assumptions!$D$12*G9</f>
        <v>2.52</v>
      </c>
      <c r="I9" s="33" t="n">
        <f aca="false">Assumptions!$D$15*(Q8+R8+T8+U8)</f>
        <v>0.0539195956843052</v>
      </c>
      <c r="J9" s="33" t="n">
        <f aca="false">H9+I9</f>
        <v>2.5739195956843</v>
      </c>
      <c r="K9" s="33" t="n">
        <f aca="false">J9*Assumptions!$D$18</f>
        <v>0</v>
      </c>
      <c r="L9" s="33" t="n">
        <f aca="false">(J9-K9)*Assumptions!$D$17</f>
        <v>1.80174371697901</v>
      </c>
      <c r="M9" s="33" t="n">
        <f aca="false">J9-K9-L9</f>
        <v>0.772175878705292</v>
      </c>
      <c r="N9" s="33" t="n">
        <f aca="false">L9*Assumptions!$D$19</f>
        <v>0.180174371697901</v>
      </c>
      <c r="O9" s="33" t="n">
        <f aca="false">L9-N9</f>
        <v>1.62156934528111</v>
      </c>
      <c r="P9" s="33" t="n">
        <f aca="false">0</f>
        <v>0</v>
      </c>
      <c r="Q9" s="33" t="n">
        <f aca="false">Q8*(1-Assumptions!$D$20)+O9-P9</f>
        <v>6.31904655140755</v>
      </c>
      <c r="R9" s="33" t="n">
        <f aca="false">R8*(1-Assumptions!$D$22)+P9*(1-Assumptions!$D$21)</f>
        <v>0</v>
      </c>
      <c r="S9" s="33" t="n">
        <f aca="false">Q9+R9</f>
        <v>6.31904655140755</v>
      </c>
      <c r="T9" s="33" t="n">
        <f aca="false">T8*(1-Assumptions!$D$24)+M9*Assumptions!$D$23</f>
        <v>0.849569371815511</v>
      </c>
      <c r="U9" s="33" t="n">
        <f aca="false">U8*(1-Assumptions!$D$25)+K9</f>
        <v>0</v>
      </c>
      <c r="V9" s="33" t="n">
        <f aca="false">V8+M9</f>
        <v>3.06185164701915</v>
      </c>
      <c r="W9" s="33" t="n">
        <f aca="false">N9+Q8*Assumptions!$D$20+P9*Assumptions!$D$21+R8*Assumptions!$D$22+T8*Assumptions!$D$24+U8*Assumptions!$D$25</f>
        <v>0.256740125798057</v>
      </c>
      <c r="X9" s="33" t="n">
        <f aca="false">IF(A9&lt;Assumptions!$D$34,0,Assumptions!$D$36*MIN(1,(A9-Assumptions!$D$34+1)/Assumptions!$D$35))*(S9+T9)</f>
        <v>0.477907728214871</v>
      </c>
      <c r="Y9" s="31" t="n">
        <f aca="false">IF(Y8&gt;0,Y8,IF(AND(A9&gt;=Assumptions!$D$41,Q8+R8+T8&gt;=Assumptions!$D$40),A9,0))</f>
        <v>0</v>
      </c>
      <c r="Z9" s="33" t="n">
        <f aca="false">IF(Y9&gt;0,Assumptions!$D$42*MIN(1,(A9-Y9+1)/Assumptions!$D$43),0)*(S9+T9)</f>
        <v>0</v>
      </c>
      <c r="AA9" s="35" t="n">
        <f aca="false">(1+Assumptions!$D$32)^(C9-1)</f>
        <v>1</v>
      </c>
      <c r="AB9" s="36" t="n">
        <f aca="false">O9*Assumptions!$D$27*AA9</f>
        <v>160.53536518283</v>
      </c>
      <c r="AC9" s="36" t="n">
        <f aca="false">(Q8+R8)*Assumptions!$D$28*AA9</f>
        <v>469.747720612644</v>
      </c>
      <c r="AD9" s="36" t="n">
        <f aca="false">M9*Assumptions!$D$29*AA9</f>
        <v>385.31576347394</v>
      </c>
      <c r="AE9" s="36" t="n">
        <f aca="false">T8*Assumptions!$D$30*AA9</f>
        <v>51.1156147100628</v>
      </c>
      <c r="AF9" s="36" t="n">
        <f aca="false">U8*Assumptions!$D$31*AA9</f>
        <v>0</v>
      </c>
      <c r="AG9" s="36" t="n">
        <f aca="false">X9*Assumptions!$D$37*Assumptions!$D$38</f>
        <v>33.453540975041</v>
      </c>
      <c r="AH9" s="36" t="n">
        <f aca="false">Z9*Assumptions!$D$44*Assumptions!$D$45</f>
        <v>0</v>
      </c>
      <c r="AI9" s="36" t="n">
        <f aca="false">SUM(AB9:AH9)</f>
        <v>1100.16800495452</v>
      </c>
      <c r="AJ9" s="36" t="n">
        <f aca="false">(S9*Assumptions!$D$28+T9*Assumptions!$D$30+U9*Assumptions!$D$31)*AA9+AG9+AH9</f>
        <v>726.155129937814</v>
      </c>
      <c r="AK9" s="36" t="n">
        <f aca="false">(AI9-AH9)*Assumptions!$D$49</f>
        <v>41.8063841882717</v>
      </c>
      <c r="AL9" s="36" t="n">
        <f aca="false">(AC9+AE9+AF9)*Assumptions!$D$50</f>
        <v>3.64604334725895</v>
      </c>
      <c r="AM9" s="36" t="n">
        <f aca="false">S9*Assumptions!$D$51+M9*Assumptions!$D$52</f>
        <v>19.4814463698388</v>
      </c>
      <c r="AN9" s="36" t="n">
        <f aca="false">Assumptions!$D$53+Assumptions!$D$54*(S9+T9+U9)</f>
        <v>171.505847769669</v>
      </c>
      <c r="AO9" s="36" t="n">
        <f aca="false">IF(C9&gt;=2,Assumptions!$D$55,0)</f>
        <v>0</v>
      </c>
      <c r="AP9" s="33" t="n">
        <f aca="false">E9*Assumptions!$D$60/60+F9*Assumptions!$D$61+J9*Assumptions!$D$62+(S9+T9)*Assumptions!$D$63+X9*Assumptions!$D$64+Z9*Assumptions!$D$65+U9*Assumptions!$D$66+Assumptions!$D$67*52/12</f>
        <v>57.7286708044181</v>
      </c>
      <c r="AQ9" s="33" t="n">
        <f aca="false">IF(BC8=1,Assumptions!$D$69,Assumptions!$D$68)*52/12</f>
        <v>108.333333333333</v>
      </c>
      <c r="AR9" s="33" t="n">
        <f aca="false">MAX(0,AP9-AQ9)</f>
        <v>0</v>
      </c>
      <c r="AS9" s="36" t="n">
        <f aca="false">AR9*Assumptions!$D$70*Assumptions!$D$71</f>
        <v>0</v>
      </c>
      <c r="AT9" s="36" t="n">
        <f aca="false">Assumptions!$D$56/12</f>
        <v>75</v>
      </c>
      <c r="AU9" s="36" t="n">
        <f aca="false">IF(A9=1,Assumptions!$D$57,0)+Assumptions!$D$58</f>
        <v>45</v>
      </c>
      <c r="AV9" s="36" t="n">
        <f aca="false">IF(AND(Y9&gt;0,Y9=A9),Assumptions!$D$46,0)+IF(Y9&gt;0,Assumptions!$D$47,0)</f>
        <v>0</v>
      </c>
      <c r="AW9" s="36" t="n">
        <f aca="false">AK9+AL9+AM9+AN9+AO9+AS9+AT9+AU9+AV9</f>
        <v>356.439721675039</v>
      </c>
      <c r="AX9" s="36" t="n">
        <f aca="false">AI9-AW9</f>
        <v>743.72828327948</v>
      </c>
      <c r="AY9" s="36" t="n">
        <f aca="false">MAX(0,AX9)*Assumptions!$D$73</f>
        <v>208.243919318254</v>
      </c>
      <c r="AZ9" s="36" t="n">
        <f aca="false">AX9-AY9</f>
        <v>535.484363961225</v>
      </c>
      <c r="BA9" s="36" t="n">
        <f aca="false">BA8+AZ9</f>
        <v>1013.00238065261</v>
      </c>
      <c r="BB9" s="31" t="n">
        <f aca="false">IF(AZ9&gt;=Assumptions!$D$74/12,BB8+1,0)</f>
        <v>0</v>
      </c>
      <c r="BC9" s="31" t="n">
        <f aca="false">IF(OR(BC8=1,BB9&gt;=3),1,0)</f>
        <v>0</v>
      </c>
      <c r="BD9" s="31" t="n">
        <f aca="false">IF(AZ9&gt;=Assumptions!$D$75/12,BD8+1,0)</f>
        <v>0</v>
      </c>
      <c r="BE9" s="33" t="n">
        <f aca="false">AP9*12/52</f>
        <v>13.3220009548657</v>
      </c>
      <c r="BF9" s="33" t="n">
        <f aca="false">AR9*12/52</f>
        <v>0</v>
      </c>
      <c r="BG9" s="31" t="n">
        <f aca="false">IF(AX9&gt;0,A9,999)</f>
        <v>5</v>
      </c>
      <c r="BH9" s="31" t="n">
        <f aca="false">IF(BB9&gt;=3,A9,999)</f>
        <v>999</v>
      </c>
      <c r="BI9" s="31" t="n">
        <f aca="false">IF(BD9&gt;=3,A9,999)</f>
        <v>999</v>
      </c>
    </row>
    <row r="10" customFormat="false" ht="15" hidden="false" customHeight="false" outlineLevel="0" collapsed="false">
      <c r="A10" s="31" t="n">
        <v>6</v>
      </c>
      <c r="B10" s="32" t="n">
        <f aca="false">DATE(2026,10+A10,1)</f>
        <v>46478</v>
      </c>
      <c r="C10" s="31" t="n">
        <f aca="false">INT((A10-1)/12)+1</f>
        <v>1</v>
      </c>
      <c r="D10" s="31" t="n">
        <f aca="false">IF(C10=1,Assumptions!$D$7,IF(C10=2,Assumptions!$D$8,Assumptions!$D$9))</f>
        <v>15</v>
      </c>
      <c r="E10" s="31" t="n">
        <f aca="false">D10*Assumptions!$D$10</f>
        <v>315</v>
      </c>
      <c r="F10" s="33" t="n">
        <f aca="false">E10*Assumptions!$D$11</f>
        <v>25.2</v>
      </c>
      <c r="G10" s="34" t="n">
        <f aca="false">MIN(1,Assumptions!$D$13+(1-Assumptions!$D$13)*(A10-1)/Assumptions!$D$14)</f>
        <v>0.916666666666667</v>
      </c>
      <c r="H10" s="33" t="n">
        <f aca="false">F10*Assumptions!$D$12*G10</f>
        <v>2.772</v>
      </c>
      <c r="I10" s="33" t="n">
        <f aca="false">Assumptions!$D$15*(Q9+R9+T9+U9)</f>
        <v>0.0716861592322306</v>
      </c>
      <c r="J10" s="33" t="n">
        <f aca="false">H10+I10</f>
        <v>2.84368615923223</v>
      </c>
      <c r="K10" s="33" t="n">
        <f aca="false">J10*Assumptions!$D$18</f>
        <v>0</v>
      </c>
      <c r="L10" s="33" t="n">
        <f aca="false">(J10-K10)*Assumptions!$D$17</f>
        <v>1.99058031146256</v>
      </c>
      <c r="M10" s="33" t="n">
        <f aca="false">J10-K10-L10</f>
        <v>0.853105847769669</v>
      </c>
      <c r="N10" s="33" t="n">
        <f aca="false">L10*Assumptions!$D$19</f>
        <v>0.199058031146256</v>
      </c>
      <c r="O10" s="33" t="n">
        <f aca="false">L10-N10</f>
        <v>1.79152228031631</v>
      </c>
      <c r="P10" s="33" t="n">
        <f aca="false">0</f>
        <v>0</v>
      </c>
      <c r="Q10" s="33" t="n">
        <f aca="false">Q9*(1-Assumptions!$D$20)+O10-P10</f>
        <v>8.04737836620978</v>
      </c>
      <c r="R10" s="33" t="n">
        <f aca="false">R9*(1-Assumptions!$D$22)+P10*(1-Assumptions!$D$21)</f>
        <v>0</v>
      </c>
      <c r="S10" s="33" t="n">
        <f aca="false">Q10+R10</f>
        <v>8.04737836620978</v>
      </c>
      <c r="T10" s="33" t="n">
        <f aca="false">T9*(1-Assumptions!$D$24)+M10*Assumptions!$D$23</f>
        <v>1.06727050441471</v>
      </c>
      <c r="U10" s="33" t="n">
        <f aca="false">U9*(1-Assumptions!$D$25)+K10</f>
        <v>0</v>
      </c>
      <c r="V10" s="33" t="n">
        <f aca="false">V9+M10</f>
        <v>3.91495749478881</v>
      </c>
      <c r="W10" s="33" t="n">
        <f aca="false">N10+Q9*Assumptions!$D$20+P10*Assumptions!$D$21+R9*Assumptions!$D$22+T9*Assumptions!$D$24+U9*Assumptions!$D$25</f>
        <v>0.30047911839203</v>
      </c>
      <c r="X10" s="33" t="n">
        <f aca="false">IF(A10&lt;Assumptions!$D$34,0,Assumptions!$D$36*MIN(1,(A10-Assumptions!$D$34+1)/Assumptions!$D$35))*(S10+T10)</f>
        <v>0.91146488706245</v>
      </c>
      <c r="Y10" s="31" t="n">
        <f aca="false">IF(Y9&gt;0,Y9,IF(AND(A10&gt;=Assumptions!$D$41,Q9+R9+T9&gt;=Assumptions!$D$40),A10,0))</f>
        <v>0</v>
      </c>
      <c r="Z10" s="33" t="n">
        <f aca="false">IF(Y10&gt;0,Assumptions!$D$42*MIN(1,(A10-Y10+1)/Assumptions!$D$43),0)*(S10+T10)</f>
        <v>0</v>
      </c>
      <c r="AA10" s="35" t="n">
        <f aca="false">(1+Assumptions!$D$32)^(C10-1)</f>
        <v>1</v>
      </c>
      <c r="AB10" s="36" t="n">
        <f aca="false">O10*Assumptions!$D$27*AA10</f>
        <v>177.360705751314</v>
      </c>
      <c r="AC10" s="36" t="n">
        <f aca="false">(Q9+R9)*Assumptions!$D$28*AA10</f>
        <v>625.585608589348</v>
      </c>
      <c r="AD10" s="36" t="n">
        <f aca="false">M10*Assumptions!$D$29*AA10</f>
        <v>425.699818037065</v>
      </c>
      <c r="AE10" s="36" t="n">
        <f aca="false">T9*Assumptions!$D$30*AA10</f>
        <v>67.1159803734254</v>
      </c>
      <c r="AF10" s="36" t="n">
        <f aca="false">U9*Assumptions!$D$31*AA10</f>
        <v>0</v>
      </c>
      <c r="AG10" s="36" t="n">
        <f aca="false">X10*Assumptions!$D$37*Assumptions!$D$38</f>
        <v>63.8025420943715</v>
      </c>
      <c r="AH10" s="36" t="n">
        <f aca="false">Z10*Assumptions!$D$44*Assumptions!$D$45</f>
        <v>0</v>
      </c>
      <c r="AI10" s="36" t="n">
        <f aca="false">SUM(AB10:AH10)</f>
        <v>1359.56465484552</v>
      </c>
      <c r="AJ10" s="36" t="n">
        <f aca="false">(S10*Assumptions!$D$28+T10*Assumptions!$D$30+U10*Assumptions!$D$31)*AA10+AG10+AH10</f>
        <v>944.807370197902</v>
      </c>
      <c r="AK10" s="36" t="n">
        <f aca="false">(AI10-AH10)*Assumptions!$D$49</f>
        <v>51.6634568841299</v>
      </c>
      <c r="AL10" s="36" t="n">
        <f aca="false">(AC10+AE10+AF10)*Assumptions!$D$50</f>
        <v>4.84891112273941</v>
      </c>
      <c r="AM10" s="36" t="n">
        <f aca="false">S10*Assumptions!$D$51+M10*Assumptions!$D$52</f>
        <v>22.8558106743073</v>
      </c>
      <c r="AN10" s="36" t="n">
        <f aca="false">Assumptions!$D$53+Assumptions!$D$54*(S10+T10+U10)</f>
        <v>177.343946611874</v>
      </c>
      <c r="AO10" s="36" t="n">
        <f aca="false">IF(C10&gt;=2,Assumptions!$D$55,0)</f>
        <v>0</v>
      </c>
      <c r="AP10" s="33" t="n">
        <f aca="false">E10*Assumptions!$D$60/60+F10*Assumptions!$D$61+J10*Assumptions!$D$62+(S10+T10)*Assumptions!$D$63+X10*Assumptions!$D$64+Z10*Assumptions!$D$65+U10*Assumptions!$D$66+Assumptions!$D$67*52/12</f>
        <v>61.6208105114637</v>
      </c>
      <c r="AQ10" s="33" t="n">
        <f aca="false">IF(BC9=1,Assumptions!$D$69,Assumptions!$D$68)*52/12</f>
        <v>108.333333333333</v>
      </c>
      <c r="AR10" s="33" t="n">
        <f aca="false">MAX(0,AP10-AQ10)</f>
        <v>0</v>
      </c>
      <c r="AS10" s="36" t="n">
        <f aca="false">AR10*Assumptions!$D$70*Assumptions!$D$71</f>
        <v>0</v>
      </c>
      <c r="AT10" s="36" t="n">
        <f aca="false">Assumptions!$D$56/12</f>
        <v>75</v>
      </c>
      <c r="AU10" s="36" t="n">
        <f aca="false">IF(A10=1,Assumptions!$D$57,0)+Assumptions!$D$58</f>
        <v>45</v>
      </c>
      <c r="AV10" s="36" t="n">
        <f aca="false">IF(AND(Y10&gt;0,Y10=A10),Assumptions!$D$46,0)+IF(Y10&gt;0,Assumptions!$D$47,0)</f>
        <v>0</v>
      </c>
      <c r="AW10" s="36" t="n">
        <f aca="false">AK10+AL10+AM10+AN10+AO10+AS10+AT10+AU10+AV10</f>
        <v>376.71212529305</v>
      </c>
      <c r="AX10" s="36" t="n">
        <f aca="false">AI10-AW10</f>
        <v>982.852529552474</v>
      </c>
      <c r="AY10" s="36" t="n">
        <f aca="false">MAX(0,AX10)*Assumptions!$D$73</f>
        <v>275.198708274693</v>
      </c>
      <c r="AZ10" s="36" t="n">
        <f aca="false">AX10-AY10</f>
        <v>707.653821277781</v>
      </c>
      <c r="BA10" s="36" t="n">
        <f aca="false">BA9+AZ10</f>
        <v>1720.65620193039</v>
      </c>
      <c r="BB10" s="31" t="n">
        <f aca="false">IF(AZ10&gt;=Assumptions!$D$74/12,BB9+1,0)</f>
        <v>0</v>
      </c>
      <c r="BC10" s="31" t="n">
        <f aca="false">IF(OR(BC9=1,BB10&gt;=3),1,0)</f>
        <v>0</v>
      </c>
      <c r="BD10" s="31" t="n">
        <f aca="false">IF(AZ10&gt;=Assumptions!$D$75/12,BD9+1,0)</f>
        <v>0</v>
      </c>
      <c r="BE10" s="33" t="n">
        <f aca="false">AP10*12/52</f>
        <v>14.220187041107</v>
      </c>
      <c r="BF10" s="33" t="n">
        <f aca="false">AR10*12/52</f>
        <v>0</v>
      </c>
      <c r="BG10" s="31" t="n">
        <f aca="false">IF(AX10&gt;0,A10,999)</f>
        <v>6</v>
      </c>
      <c r="BH10" s="31" t="n">
        <f aca="false">IF(BB10&gt;=3,A10,999)</f>
        <v>999</v>
      </c>
      <c r="BI10" s="31" t="n">
        <f aca="false">IF(BD10&gt;=3,A10,999)</f>
        <v>999</v>
      </c>
    </row>
    <row r="11" customFormat="false" ht="15" hidden="false" customHeight="false" outlineLevel="0" collapsed="false">
      <c r="A11" s="31" t="n">
        <v>7</v>
      </c>
      <c r="B11" s="32" t="n">
        <f aca="false">DATE(2026,10+A11,1)</f>
        <v>46508</v>
      </c>
      <c r="C11" s="31" t="n">
        <f aca="false">INT((A11-1)/12)+1</f>
        <v>1</v>
      </c>
      <c r="D11" s="31" t="n">
        <f aca="false">IF(C11=1,Assumptions!$D$7,IF(C11=2,Assumptions!$D$8,Assumptions!$D$9))</f>
        <v>15</v>
      </c>
      <c r="E11" s="31" t="n">
        <f aca="false">D11*Assumptions!$D$10</f>
        <v>315</v>
      </c>
      <c r="F11" s="33" t="n">
        <f aca="false">E11*Assumptions!$D$11</f>
        <v>25.2</v>
      </c>
      <c r="G11" s="34" t="n">
        <f aca="false">MIN(1,Assumptions!$D$13+(1-Assumptions!$D$13)*(A11-1)/Assumptions!$D$14)</f>
        <v>1</v>
      </c>
      <c r="H11" s="33" t="n">
        <f aca="false">F11*Assumptions!$D$12*G11</f>
        <v>3.024</v>
      </c>
      <c r="I11" s="33" t="n">
        <f aca="false">Assumptions!$D$15*(Q10+R10+T10+U10)</f>
        <v>0.091146488706245</v>
      </c>
      <c r="J11" s="33" t="n">
        <f aca="false">H11+I11</f>
        <v>3.11514648870625</v>
      </c>
      <c r="K11" s="33" t="n">
        <f aca="false">J11*Assumptions!$D$18</f>
        <v>0</v>
      </c>
      <c r="L11" s="33" t="n">
        <f aca="false">(J11-K11)*Assumptions!$D$17</f>
        <v>2.18060254209437</v>
      </c>
      <c r="M11" s="33" t="n">
        <f aca="false">J11-K11-L11</f>
        <v>0.934543946611874</v>
      </c>
      <c r="N11" s="33" t="n">
        <f aca="false">L11*Assumptions!$D$19</f>
        <v>0.218060254209437</v>
      </c>
      <c r="O11" s="33" t="n">
        <f aca="false">L11-N11</f>
        <v>1.96254228788493</v>
      </c>
      <c r="P11" s="33" t="n">
        <f aca="false">0</f>
        <v>0</v>
      </c>
      <c r="Q11" s="33" t="n">
        <f aca="false">Q10*(1-Assumptions!$D$20)+O11-P11</f>
        <v>9.92944687043262</v>
      </c>
      <c r="R11" s="33" t="n">
        <f aca="false">R10*(1-Assumptions!$D$22)+P11*(1-Assumptions!$D$21)</f>
        <v>0</v>
      </c>
      <c r="S11" s="33" t="n">
        <f aca="false">Q11+R11</f>
        <v>9.92944687043262</v>
      </c>
      <c r="T11" s="33" t="n">
        <f aca="false">T10*(1-Assumptions!$D$24)+M11*Assumptions!$D$23</f>
        <v>1.29960651569961</v>
      </c>
      <c r="U11" s="33" t="n">
        <f aca="false">U10*(1-Assumptions!$D$25)+K11</f>
        <v>0</v>
      </c>
      <c r="V11" s="33" t="n">
        <f aca="false">V10+M11</f>
        <v>4.84950144140069</v>
      </c>
      <c r="W11" s="33" t="n">
        <f aca="false">N11+Q10*Assumptions!$D$20+P11*Assumptions!$D$21+R10*Assumptions!$D$22+T10*Assumptions!$D$24+U10*Assumptions!$D$25</f>
        <v>0.346561210570197</v>
      </c>
      <c r="X11" s="33" t="n">
        <f aca="false">IF(A11&lt;Assumptions!$D$34,0,Assumptions!$D$36*MIN(1,(A11-Assumptions!$D$34+1)/Assumptions!$D$35))*(S11+T11)</f>
        <v>1.49720711815096</v>
      </c>
      <c r="Y11" s="31" t="n">
        <f aca="false">IF(Y10&gt;0,Y10,IF(AND(A11&gt;=Assumptions!$D$41,Q10+R10+T10&gt;=Assumptions!$D$40),A11,0))</f>
        <v>0</v>
      </c>
      <c r="Z11" s="33" t="n">
        <f aca="false">IF(Y11&gt;0,Assumptions!$D$42*MIN(1,(A11-Y11+1)/Assumptions!$D$43),0)*(S11+T11)</f>
        <v>0</v>
      </c>
      <c r="AA11" s="35" t="n">
        <f aca="false">(1+Assumptions!$D$32)^(C11-1)</f>
        <v>1</v>
      </c>
      <c r="AB11" s="36" t="n">
        <f aca="false">O11*Assumptions!$D$27*AA11</f>
        <v>194.291686500609</v>
      </c>
      <c r="AC11" s="36" t="n">
        <f aca="false">(Q10+R10)*Assumptions!$D$28*AA11</f>
        <v>796.690458254768</v>
      </c>
      <c r="AD11" s="36" t="n">
        <f aca="false">M11*Assumptions!$D$29*AA11</f>
        <v>466.337429359325</v>
      </c>
      <c r="AE11" s="36" t="n">
        <f aca="false">T10*Assumptions!$D$30*AA11</f>
        <v>84.3143698487624</v>
      </c>
      <c r="AF11" s="36" t="n">
        <f aca="false">U10*Assumptions!$D$31*AA11</f>
        <v>0</v>
      </c>
      <c r="AG11" s="36" t="n">
        <f aca="false">X11*Assumptions!$D$37*Assumptions!$D$38</f>
        <v>104.804498270567</v>
      </c>
      <c r="AH11" s="36" t="n">
        <f aca="false">Z11*Assumptions!$D$44*Assumptions!$D$45</f>
        <v>0</v>
      </c>
      <c r="AI11" s="36" t="n">
        <f aca="false">SUM(AB11:AH11)</f>
        <v>1646.43844223403</v>
      </c>
      <c r="AJ11" s="36" t="n">
        <f aca="false">(S11*Assumptions!$D$28+T11*Assumptions!$D$30+U11*Assumptions!$D$31)*AA11+AG11+AH11</f>
        <v>1190.48865318367</v>
      </c>
      <c r="AK11" s="36" t="n">
        <f aca="false">(AI11-AH11)*Assumptions!$D$49</f>
        <v>62.5646608048932</v>
      </c>
      <c r="AL11" s="36" t="n">
        <f aca="false">(AC11+AE11+AF11)*Assumptions!$D$50</f>
        <v>6.16703379672472</v>
      </c>
      <c r="AM11" s="36" t="n">
        <f aca="false">S11*Assumptions!$D$51+M11*Assumptions!$D$52</f>
        <v>26.4299677872189</v>
      </c>
      <c r="AN11" s="36" t="n">
        <f aca="false">Assumptions!$D$53+Assumptions!$D$54*(S11+T11+U11)</f>
        <v>183.687160158397</v>
      </c>
      <c r="AO11" s="36" t="n">
        <f aca="false">IF(C11&gt;=2,Assumptions!$D$55,0)</f>
        <v>0</v>
      </c>
      <c r="AP11" s="33" t="n">
        <f aca="false">E11*Assumptions!$D$60/60+F11*Assumptions!$D$61+J11*Assumptions!$D$62+(S11+T11)*Assumptions!$D$63+X11*Assumptions!$D$64+Z11*Assumptions!$D$65+U11*Assumptions!$D$66+Assumptions!$D$67*52/12</f>
        <v>65.9210801747618</v>
      </c>
      <c r="AQ11" s="33" t="n">
        <f aca="false">IF(BC10=1,Assumptions!$D$69,Assumptions!$D$68)*52/12</f>
        <v>108.333333333333</v>
      </c>
      <c r="AR11" s="33" t="n">
        <f aca="false">MAX(0,AP11-AQ11)</f>
        <v>0</v>
      </c>
      <c r="AS11" s="36" t="n">
        <f aca="false">AR11*Assumptions!$D$70*Assumptions!$D$71</f>
        <v>0</v>
      </c>
      <c r="AT11" s="36" t="n">
        <f aca="false">Assumptions!$D$56/12</f>
        <v>75</v>
      </c>
      <c r="AU11" s="36" t="n">
        <f aca="false">IF(A11=1,Assumptions!$D$57,0)+Assumptions!$D$58</f>
        <v>45</v>
      </c>
      <c r="AV11" s="36" t="n">
        <f aca="false">IF(AND(Y11&gt;0,Y11=A11),Assumptions!$D$46,0)+IF(Y11&gt;0,Assumptions!$D$47,0)</f>
        <v>0</v>
      </c>
      <c r="AW11" s="36" t="n">
        <f aca="false">AK11+AL11+AM11+AN11+AO11+AS11+AT11+AU11+AV11</f>
        <v>398.848822547233</v>
      </c>
      <c r="AX11" s="36" t="n">
        <f aca="false">AI11-AW11</f>
        <v>1247.5896196868</v>
      </c>
      <c r="AY11" s="36" t="n">
        <f aca="false">MAX(0,AX11)*Assumptions!$D$73</f>
        <v>349.325093512303</v>
      </c>
      <c r="AZ11" s="36" t="n">
        <f aca="false">AX11-AY11</f>
        <v>898.264526174494</v>
      </c>
      <c r="BA11" s="36" t="n">
        <f aca="false">BA10+AZ11</f>
        <v>2618.92072810489</v>
      </c>
      <c r="BB11" s="31" t="n">
        <f aca="false">IF(AZ11&gt;=Assumptions!$D$74/12,BB10+1,0)</f>
        <v>0</v>
      </c>
      <c r="BC11" s="31" t="n">
        <f aca="false">IF(OR(BC10=1,BB11&gt;=3),1,0)</f>
        <v>0</v>
      </c>
      <c r="BD11" s="31" t="n">
        <f aca="false">IF(AZ11&gt;=Assumptions!$D$75/12,BD10+1,0)</f>
        <v>0</v>
      </c>
      <c r="BE11" s="33" t="n">
        <f aca="false">AP11*12/52</f>
        <v>15.2125569634066</v>
      </c>
      <c r="BF11" s="33" t="n">
        <f aca="false">AR11*12/52</f>
        <v>0</v>
      </c>
      <c r="BG11" s="31" t="n">
        <f aca="false">IF(AX11&gt;0,A11,999)</f>
        <v>7</v>
      </c>
      <c r="BH11" s="31" t="n">
        <f aca="false">IF(BB11&gt;=3,A11,999)</f>
        <v>999</v>
      </c>
      <c r="BI11" s="31" t="n">
        <f aca="false">IF(BD11&gt;=3,A11,999)</f>
        <v>999</v>
      </c>
    </row>
    <row r="12" customFormat="false" ht="15" hidden="false" customHeight="false" outlineLevel="0" collapsed="false">
      <c r="A12" s="31" t="n">
        <v>8</v>
      </c>
      <c r="B12" s="32" t="n">
        <f aca="false">DATE(2026,10+A12,1)</f>
        <v>46539</v>
      </c>
      <c r="C12" s="31" t="n">
        <f aca="false">INT((A12-1)/12)+1</f>
        <v>1</v>
      </c>
      <c r="D12" s="31" t="n">
        <f aca="false">IF(C12=1,Assumptions!$D$7,IF(C12=2,Assumptions!$D$8,Assumptions!$D$9))</f>
        <v>15</v>
      </c>
      <c r="E12" s="31" t="n">
        <f aca="false">D12*Assumptions!$D$10</f>
        <v>315</v>
      </c>
      <c r="F12" s="33" t="n">
        <f aca="false">E12*Assumptions!$D$11</f>
        <v>25.2</v>
      </c>
      <c r="G12" s="34" t="n">
        <f aca="false">MIN(1,Assumptions!$D$13+(1-Assumptions!$D$13)*(A12-1)/Assumptions!$D$14)</f>
        <v>1</v>
      </c>
      <c r="H12" s="33" t="n">
        <f aca="false">F12*Assumptions!$D$12*G12</f>
        <v>3.024</v>
      </c>
      <c r="I12" s="33" t="n">
        <f aca="false">Assumptions!$D$15*(Q11+R11+T11+U11)</f>
        <v>0.112290533861322</v>
      </c>
      <c r="J12" s="33" t="n">
        <f aca="false">H12+I12</f>
        <v>3.13629053386132</v>
      </c>
      <c r="K12" s="33" t="n">
        <f aca="false">J12*Assumptions!$D$18</f>
        <v>0</v>
      </c>
      <c r="L12" s="33" t="n">
        <f aca="false">(J12-K12)*Assumptions!$D$17</f>
        <v>2.19540337370293</v>
      </c>
      <c r="M12" s="33" t="n">
        <f aca="false">J12-K12-L12</f>
        <v>0.940887160158397</v>
      </c>
      <c r="N12" s="33" t="n">
        <f aca="false">L12*Assumptions!$D$19</f>
        <v>0.219540337370293</v>
      </c>
      <c r="O12" s="33" t="n">
        <f aca="false">L12-N12</f>
        <v>1.97586303633263</v>
      </c>
      <c r="P12" s="33" t="n">
        <f aca="false">0</f>
        <v>0</v>
      </c>
      <c r="Q12" s="33" t="n">
        <f aca="false">Q11*(1-Assumptions!$D$20)+O12-P12</f>
        <v>11.8060154380609</v>
      </c>
      <c r="R12" s="33" t="n">
        <f aca="false">R11*(1-Assumptions!$D$22)+P12*(1-Assumptions!$D$21)</f>
        <v>0</v>
      </c>
      <c r="S12" s="33" t="n">
        <f aca="false">Q12+R12</f>
        <v>11.8060154380609</v>
      </c>
      <c r="T12" s="33" t="n">
        <f aca="false">T11*(1-Assumptions!$D$24)+M12*Assumptions!$D$23</f>
        <v>1.52339037054065</v>
      </c>
      <c r="U12" s="33" t="n">
        <f aca="false">U11*(1-Assumptions!$D$25)+K12</f>
        <v>0</v>
      </c>
      <c r="V12" s="33" t="n">
        <f aca="false">V11+M12</f>
        <v>5.79038860155908</v>
      </c>
      <c r="W12" s="33" t="n">
        <f aca="false">N12+Q11*Assumptions!$D$20+P12*Assumptions!$D$21+R11*Assumptions!$D$22+T11*Assumptions!$D$24+U11*Assumptions!$D$25</f>
        <v>0.377317099281101</v>
      </c>
      <c r="X12" s="33" t="n">
        <f aca="false">IF(A12&lt;Assumptions!$D$34,0,Assumptions!$D$36*MIN(1,(A12-Assumptions!$D$34+1)/Assumptions!$D$35))*(S12+T12)</f>
        <v>2.22156763476693</v>
      </c>
      <c r="Y12" s="31" t="n">
        <f aca="false">IF(Y11&gt;0,Y11,IF(AND(A12&gt;=Assumptions!$D$41,Q11+R11+T11&gt;=Assumptions!$D$40),A12,0))</f>
        <v>0</v>
      </c>
      <c r="Z12" s="33" t="n">
        <f aca="false">IF(Y12&gt;0,Assumptions!$D$42*MIN(1,(A12-Y12+1)/Assumptions!$D$43),0)*(S12+T12)</f>
        <v>0</v>
      </c>
      <c r="AA12" s="35" t="n">
        <f aca="false">(1+Assumptions!$D$32)^(C12-1)</f>
        <v>1</v>
      </c>
      <c r="AB12" s="36" t="n">
        <f aca="false">O12*Assumptions!$D$27*AA12</f>
        <v>195.610440596931</v>
      </c>
      <c r="AC12" s="36" t="n">
        <f aca="false">(Q11+R11)*Assumptions!$D$28*AA12</f>
        <v>983.015240172829</v>
      </c>
      <c r="AD12" s="36" t="n">
        <f aca="false">M12*Assumptions!$D$29*AA12</f>
        <v>469.50269291904</v>
      </c>
      <c r="AE12" s="36" t="n">
        <f aca="false">T11*Assumptions!$D$30*AA12</f>
        <v>102.66891474027</v>
      </c>
      <c r="AF12" s="36" t="n">
        <f aca="false">U11*Assumptions!$D$31*AA12</f>
        <v>0</v>
      </c>
      <c r="AG12" s="36" t="n">
        <f aca="false">X12*Assumptions!$D$37*Assumptions!$D$38</f>
        <v>155.509734433685</v>
      </c>
      <c r="AH12" s="36" t="n">
        <f aca="false">Z12*Assumptions!$D$44*Assumptions!$D$45</f>
        <v>0</v>
      </c>
      <c r="AI12" s="36" t="n">
        <f aca="false">SUM(AB12:AH12)</f>
        <v>1906.30702286275</v>
      </c>
      <c r="AJ12" s="36" t="n">
        <f aca="false">(S12*Assumptions!$D$28+T12*Assumptions!$D$30+U12*Assumptions!$D$31)*AA12+AG12+AH12</f>
        <v>1444.65310207443</v>
      </c>
      <c r="AK12" s="36" t="n">
        <f aca="false">(AI12-AH12)*Assumptions!$D$49</f>
        <v>72.4396668687847</v>
      </c>
      <c r="AL12" s="36" t="n">
        <f aca="false">(AC12+AE12+AF12)*Assumptions!$D$50</f>
        <v>7.59978908439169</v>
      </c>
      <c r="AM12" s="36" t="n">
        <f aca="false">S12*Assumptions!$D$51+M12*Assumptions!$D$52</f>
        <v>28.8708266999521</v>
      </c>
      <c r="AN12" s="36" t="n">
        <f aca="false">Assumptions!$D$53+Assumptions!$D$54*(S12+T12+U12)</f>
        <v>189.988217425805</v>
      </c>
      <c r="AO12" s="36" t="n">
        <f aca="false">IF(C12&gt;=2,Assumptions!$D$55,0)</f>
        <v>0</v>
      </c>
      <c r="AP12" s="33" t="n">
        <f aca="false">E12*Assumptions!$D$60/60+F12*Assumptions!$D$61+J12*Assumptions!$D$62+(S12+T12)*Assumptions!$D$63+X12*Assumptions!$D$64+Z12*Assumptions!$D$65+U12*Assumptions!$D$66+Assumptions!$D$67*52/12</f>
        <v>69.8382574153919</v>
      </c>
      <c r="AQ12" s="33" t="n">
        <f aca="false">IF(BC11=1,Assumptions!$D$69,Assumptions!$D$68)*52/12</f>
        <v>108.333333333333</v>
      </c>
      <c r="AR12" s="33" t="n">
        <f aca="false">MAX(0,AP12-AQ12)</f>
        <v>0</v>
      </c>
      <c r="AS12" s="36" t="n">
        <f aca="false">AR12*Assumptions!$D$70*Assumptions!$D$71</f>
        <v>0</v>
      </c>
      <c r="AT12" s="36" t="n">
        <f aca="false">Assumptions!$D$56/12</f>
        <v>75</v>
      </c>
      <c r="AU12" s="36" t="n">
        <f aca="false">IF(A12=1,Assumptions!$D$57,0)+Assumptions!$D$58</f>
        <v>45</v>
      </c>
      <c r="AV12" s="36" t="n">
        <f aca="false">IF(AND(Y12&gt;0,Y12=A12),Assumptions!$D$46,0)+IF(Y12&gt;0,Assumptions!$D$47,0)</f>
        <v>0</v>
      </c>
      <c r="AW12" s="36" t="n">
        <f aca="false">AK12+AL12+AM12+AN12+AO12+AS12+AT12+AU12+AV12</f>
        <v>418.898500078933</v>
      </c>
      <c r="AX12" s="36" t="n">
        <f aca="false">AI12-AW12</f>
        <v>1487.40852278382</v>
      </c>
      <c r="AY12" s="36" t="n">
        <f aca="false">MAX(0,AX12)*Assumptions!$D$73</f>
        <v>416.47438637947</v>
      </c>
      <c r="AZ12" s="36" t="n">
        <f aca="false">AX12-AY12</f>
        <v>1070.93413640435</v>
      </c>
      <c r="BA12" s="36" t="n">
        <f aca="false">BA11+AZ12</f>
        <v>3689.85486450924</v>
      </c>
      <c r="BB12" s="31" t="n">
        <f aca="false">IF(AZ12&gt;=Assumptions!$D$74/12,BB11+1,0)</f>
        <v>0</v>
      </c>
      <c r="BC12" s="31" t="n">
        <f aca="false">IF(OR(BC11=1,BB12&gt;=3),1,0)</f>
        <v>0</v>
      </c>
      <c r="BD12" s="31" t="n">
        <f aca="false">IF(AZ12&gt;=Assumptions!$D$75/12,BD11+1,0)</f>
        <v>0</v>
      </c>
      <c r="BE12" s="33" t="n">
        <f aca="false">AP12*12/52</f>
        <v>16.1165209420135</v>
      </c>
      <c r="BF12" s="33" t="n">
        <f aca="false">AR12*12/52</f>
        <v>0</v>
      </c>
      <c r="BG12" s="31" t="n">
        <f aca="false">IF(AX12&gt;0,A12,999)</f>
        <v>8</v>
      </c>
      <c r="BH12" s="31" t="n">
        <f aca="false">IF(BB12&gt;=3,A12,999)</f>
        <v>999</v>
      </c>
      <c r="BI12" s="31" t="n">
        <f aca="false">IF(BD12&gt;=3,A12,999)</f>
        <v>999</v>
      </c>
    </row>
    <row r="13" customFormat="false" ht="15" hidden="false" customHeight="false" outlineLevel="0" collapsed="false">
      <c r="A13" s="31" t="n">
        <v>9</v>
      </c>
      <c r="B13" s="32" t="n">
        <f aca="false">DATE(2026,10+A13,1)</f>
        <v>46569</v>
      </c>
      <c r="C13" s="31" t="n">
        <f aca="false">INT((A13-1)/12)+1</f>
        <v>1</v>
      </c>
      <c r="D13" s="31" t="n">
        <f aca="false">IF(C13=1,Assumptions!$D$7,IF(C13=2,Assumptions!$D$8,Assumptions!$D$9))</f>
        <v>15</v>
      </c>
      <c r="E13" s="31" t="n">
        <f aca="false">D13*Assumptions!$D$10</f>
        <v>315</v>
      </c>
      <c r="F13" s="33" t="n">
        <f aca="false">E13*Assumptions!$D$11</f>
        <v>25.2</v>
      </c>
      <c r="G13" s="34" t="n">
        <f aca="false">MIN(1,Assumptions!$D$13+(1-Assumptions!$D$13)*(A13-1)/Assumptions!$D$14)</f>
        <v>1</v>
      </c>
      <c r="H13" s="33" t="n">
        <f aca="false">F13*Assumptions!$D$12*G13</f>
        <v>3.024</v>
      </c>
      <c r="I13" s="33" t="n">
        <f aca="false">Assumptions!$D$15*(Q12+R12+T12+U12)</f>
        <v>0.133294058086016</v>
      </c>
      <c r="J13" s="33" t="n">
        <f aca="false">H13+I13</f>
        <v>3.15729405808602</v>
      </c>
      <c r="K13" s="33" t="n">
        <f aca="false">J13*Assumptions!$D$18</f>
        <v>0</v>
      </c>
      <c r="L13" s="33" t="n">
        <f aca="false">(J13-K13)*Assumptions!$D$17</f>
        <v>2.21010584066021</v>
      </c>
      <c r="M13" s="33" t="n">
        <f aca="false">J13-K13-L13</f>
        <v>0.947188217425805</v>
      </c>
      <c r="N13" s="33" t="n">
        <f aca="false">L13*Assumptions!$D$19</f>
        <v>0.221010584066021</v>
      </c>
      <c r="O13" s="33" t="n">
        <f aca="false">L13-N13</f>
        <v>1.98909525659419</v>
      </c>
      <c r="P13" s="33" t="n">
        <f aca="false">0</f>
        <v>0</v>
      </c>
      <c r="Q13" s="33" t="n">
        <f aca="false">Q12*(1-Assumptions!$D$20)+O13-P13</f>
        <v>13.6770505402745</v>
      </c>
      <c r="R13" s="33" t="n">
        <f aca="false">R12*(1-Assumptions!$D$22)+P13*(1-Assumptions!$D$21)</f>
        <v>0</v>
      </c>
      <c r="S13" s="33" t="n">
        <f aca="false">Q13+R13</f>
        <v>13.6770505402745</v>
      </c>
      <c r="T13" s="33" t="n">
        <f aca="false">T12*(1-Assumptions!$D$24)+M13*Assumptions!$D$23</f>
        <v>1.73899426909406</v>
      </c>
      <c r="U13" s="33" t="n">
        <f aca="false">U12*(1-Assumptions!$D$25)+K13</f>
        <v>0</v>
      </c>
      <c r="V13" s="33" t="n">
        <f aca="false">V12+M13</f>
        <v>6.73757681898489</v>
      </c>
      <c r="W13" s="33" t="n">
        <f aca="false">N13+Q12*Assumptions!$D$20+P13*Assumptions!$D$21+R12*Assumptions!$D$22+T12*Assumptions!$D$24+U12*Assumptions!$D$25</f>
        <v>0.40762330512096</v>
      </c>
      <c r="X13" s="33" t="n">
        <f aca="false">IF(A13&lt;Assumptions!$D$34,0,Assumptions!$D$36*MIN(1,(A13-Assumptions!$D$34+1)/Assumptions!$D$35))*(S13+T13)</f>
        <v>3.08320896187371</v>
      </c>
      <c r="Y13" s="31" t="n">
        <f aca="false">IF(Y12&gt;0,Y12,IF(AND(A13&gt;=Assumptions!$D$41,Q12+R12+T12&gt;=Assumptions!$D$40),A13,0))</f>
        <v>0</v>
      </c>
      <c r="Z13" s="33" t="n">
        <f aca="false">IF(Y13&gt;0,Assumptions!$D$42*MIN(1,(A13-Y13+1)/Assumptions!$D$43),0)*(S13+T13)</f>
        <v>0</v>
      </c>
      <c r="AA13" s="35" t="n">
        <f aca="false">(1+Assumptions!$D$32)^(C13-1)</f>
        <v>1</v>
      </c>
      <c r="AB13" s="36" t="n">
        <f aca="false">O13*Assumptions!$D$27*AA13</f>
        <v>196.920430402825</v>
      </c>
      <c r="AC13" s="36" t="n">
        <f aca="false">(Q12+R12)*Assumptions!$D$28*AA13</f>
        <v>1168.79552836803</v>
      </c>
      <c r="AD13" s="36" t="n">
        <f aca="false">M13*Assumptions!$D$29*AA13</f>
        <v>472.646920495477</v>
      </c>
      <c r="AE13" s="36" t="n">
        <f aca="false">T12*Assumptions!$D$30*AA13</f>
        <v>120.347839272711</v>
      </c>
      <c r="AF13" s="36" t="n">
        <f aca="false">U12*Assumptions!$D$31*AA13</f>
        <v>0</v>
      </c>
      <c r="AG13" s="36" t="n">
        <f aca="false">X13*Assumptions!$D$37*Assumptions!$D$38</f>
        <v>215.82462733116</v>
      </c>
      <c r="AH13" s="36" t="n">
        <f aca="false">Z13*Assumptions!$D$44*Assumptions!$D$45</f>
        <v>0</v>
      </c>
      <c r="AI13" s="36" t="n">
        <f aca="false">SUM(AB13:AH13)</f>
        <v>2174.5353458702</v>
      </c>
      <c r="AJ13" s="36" t="n">
        <f aca="false">(S13*Assumptions!$D$28+T13*Assumptions!$D$30+U13*Assumptions!$D$31)*AA13+AG13+AH13</f>
        <v>1707.23317807677</v>
      </c>
      <c r="AK13" s="36" t="n">
        <f aca="false">(AI13-AH13)*Assumptions!$D$49</f>
        <v>82.6323431430678</v>
      </c>
      <c r="AL13" s="36" t="n">
        <f aca="false">(AC13+AE13+AF13)*Assumptions!$D$50</f>
        <v>9.0240035734852</v>
      </c>
      <c r="AM13" s="36" t="n">
        <f aca="false">S13*Assumptions!$D$51+M13*Assumptions!$D$52</f>
        <v>31.3041364367302</v>
      </c>
      <c r="AN13" s="36" t="n">
        <f aca="false">Assumptions!$D$53+Assumptions!$D$54*(S13+T13+U13)</f>
        <v>196.248134428106</v>
      </c>
      <c r="AO13" s="36" t="n">
        <f aca="false">IF(C13&gt;=2,Assumptions!$D$55,0)</f>
        <v>0</v>
      </c>
      <c r="AP13" s="33" t="n">
        <f aca="false">E13*Assumptions!$D$60/60+F13*Assumptions!$D$61+J13*Assumptions!$D$62+(S13+T13)*Assumptions!$D$63+X13*Assumptions!$D$64+Z13*Assumptions!$D$65+U13*Assumptions!$D$66+Assumptions!$D$67*52/12</f>
        <v>73.8718642920986</v>
      </c>
      <c r="AQ13" s="33" t="n">
        <f aca="false">IF(BC12=1,Assumptions!$D$69,Assumptions!$D$68)*52/12</f>
        <v>108.333333333333</v>
      </c>
      <c r="AR13" s="33" t="n">
        <f aca="false">MAX(0,AP13-AQ13)</f>
        <v>0</v>
      </c>
      <c r="AS13" s="36" t="n">
        <f aca="false">AR13*Assumptions!$D$70*Assumptions!$D$71</f>
        <v>0</v>
      </c>
      <c r="AT13" s="36" t="n">
        <f aca="false">Assumptions!$D$56/12</f>
        <v>75</v>
      </c>
      <c r="AU13" s="36" t="n">
        <f aca="false">IF(A13=1,Assumptions!$D$57,0)+Assumptions!$D$58</f>
        <v>45</v>
      </c>
      <c r="AV13" s="36" t="n">
        <f aca="false">IF(AND(Y13&gt;0,Y13=A13),Assumptions!$D$46,0)+IF(Y13&gt;0,Assumptions!$D$47,0)</f>
        <v>0</v>
      </c>
      <c r="AW13" s="36" t="n">
        <f aca="false">AK13+AL13+AM13+AN13+AO13+AS13+AT13+AU13+AV13</f>
        <v>439.208617581389</v>
      </c>
      <c r="AX13" s="36" t="n">
        <f aca="false">AI13-AW13</f>
        <v>1735.32672828882</v>
      </c>
      <c r="AY13" s="36" t="n">
        <f aca="false">MAX(0,AX13)*Assumptions!$D$73</f>
        <v>485.891483920868</v>
      </c>
      <c r="AZ13" s="36" t="n">
        <f aca="false">AX13-AY13</f>
        <v>1249.43524436795</v>
      </c>
      <c r="BA13" s="36" t="n">
        <f aca="false">BA12+AZ13</f>
        <v>4939.29010887719</v>
      </c>
      <c r="BB13" s="31" t="n">
        <f aca="false">IF(AZ13&gt;=Assumptions!$D$74/12,BB12+1,0)</f>
        <v>0</v>
      </c>
      <c r="BC13" s="31" t="n">
        <f aca="false">IF(OR(BC12=1,BB13&gt;=3),1,0)</f>
        <v>0</v>
      </c>
      <c r="BD13" s="31" t="n">
        <f aca="false">IF(AZ13&gt;=Assumptions!$D$75/12,BD12+1,0)</f>
        <v>0</v>
      </c>
      <c r="BE13" s="33" t="n">
        <f aca="false">AP13*12/52</f>
        <v>17.0473532981766</v>
      </c>
      <c r="BF13" s="33" t="n">
        <f aca="false">AR13*12/52</f>
        <v>0</v>
      </c>
      <c r="BG13" s="31" t="n">
        <f aca="false">IF(AX13&gt;0,A13,999)</f>
        <v>9</v>
      </c>
      <c r="BH13" s="31" t="n">
        <f aca="false">IF(BB13&gt;=3,A13,999)</f>
        <v>999</v>
      </c>
      <c r="BI13" s="31" t="n">
        <f aca="false">IF(BD13&gt;=3,A13,999)</f>
        <v>999</v>
      </c>
    </row>
    <row r="14" customFormat="false" ht="15" hidden="false" customHeight="false" outlineLevel="0" collapsed="false">
      <c r="A14" s="31" t="n">
        <v>10</v>
      </c>
      <c r="B14" s="32" t="n">
        <f aca="false">DATE(2026,10+A14,1)</f>
        <v>46600</v>
      </c>
      <c r="C14" s="31" t="n">
        <f aca="false">INT((A14-1)/12)+1</f>
        <v>1</v>
      </c>
      <c r="D14" s="31" t="n">
        <f aca="false">IF(C14=1,Assumptions!$D$7,IF(C14=2,Assumptions!$D$8,Assumptions!$D$9))</f>
        <v>15</v>
      </c>
      <c r="E14" s="31" t="n">
        <f aca="false">D14*Assumptions!$D$10</f>
        <v>315</v>
      </c>
      <c r="F14" s="33" t="n">
        <f aca="false">E14*Assumptions!$D$11</f>
        <v>25.2</v>
      </c>
      <c r="G14" s="34" t="n">
        <f aca="false">MIN(1,Assumptions!$D$13+(1-Assumptions!$D$13)*(A14-1)/Assumptions!$D$14)</f>
        <v>1</v>
      </c>
      <c r="H14" s="33" t="n">
        <f aca="false">F14*Assumptions!$D$12*G14</f>
        <v>3.024</v>
      </c>
      <c r="I14" s="33" t="n">
        <f aca="false">Assumptions!$D$15*(Q13+R13+T13+U13)</f>
        <v>0.154160448093686</v>
      </c>
      <c r="J14" s="33" t="n">
        <f aca="false">H14+I14</f>
        <v>3.17816044809369</v>
      </c>
      <c r="K14" s="33" t="n">
        <f aca="false">J14*Assumptions!$D$18</f>
        <v>0</v>
      </c>
      <c r="L14" s="33" t="n">
        <f aca="false">(J14-K14)*Assumptions!$D$17</f>
        <v>2.22471231366558</v>
      </c>
      <c r="M14" s="33" t="n">
        <f aca="false">J14-K14-L14</f>
        <v>0.953448134428106</v>
      </c>
      <c r="N14" s="33" t="n">
        <f aca="false">L14*Assumptions!$D$19</f>
        <v>0.222471231366558</v>
      </c>
      <c r="O14" s="33" t="n">
        <f aca="false">L14-N14</f>
        <v>2.00224108229902</v>
      </c>
      <c r="P14" s="33" t="n">
        <f aca="false">0</f>
        <v>0</v>
      </c>
      <c r="Q14" s="33" t="n">
        <f aca="false">Q13*(1-Assumptions!$D$20)+O14-P14</f>
        <v>15.5425211171708</v>
      </c>
      <c r="R14" s="33" t="n">
        <f aca="false">R13*(1-Assumptions!$D$22)+P14*(1-Assumptions!$D$21)</f>
        <v>0</v>
      </c>
      <c r="S14" s="33" t="n">
        <f aca="false">Q14+R14</f>
        <v>15.5425211171708</v>
      </c>
      <c r="T14" s="33" t="n">
        <f aca="false">T13*(1-Assumptions!$D$24)+M14*Assumptions!$D$23</f>
        <v>1.94677396731326</v>
      </c>
      <c r="U14" s="33" t="n">
        <f aca="false">U13*(1-Assumptions!$D$25)+K14</f>
        <v>0</v>
      </c>
      <c r="V14" s="33" t="n">
        <f aca="false">V13+M14</f>
        <v>7.691024953413</v>
      </c>
      <c r="W14" s="33" t="n">
        <f aca="false">N14+Q13*Assumptions!$D$20+P14*Assumptions!$D$21+R13*Assumptions!$D$22+T13*Assumptions!$D$24+U13*Assumptions!$D$25</f>
        <v>0.437496478878536</v>
      </c>
      <c r="X14" s="33" t="n">
        <f aca="false">IF(A14&lt;Assumptions!$D$34,0,Assumptions!$D$36*MIN(1,(A14-Assumptions!$D$34+1)/Assumptions!$D$35))*(S14+T14)</f>
        <v>3.49785901689681</v>
      </c>
      <c r="Y14" s="31" t="n">
        <f aca="false">IF(Y13&gt;0,Y13,IF(AND(A14&gt;=Assumptions!$D$41,Q13+R13+T13&gt;=Assumptions!$D$40),A14,0))</f>
        <v>0</v>
      </c>
      <c r="Z14" s="33" t="n">
        <f aca="false">IF(Y14&gt;0,Assumptions!$D$42*MIN(1,(A14-Y14+1)/Assumptions!$D$43),0)*(S14+T14)</f>
        <v>0</v>
      </c>
      <c r="AA14" s="35" t="n">
        <f aca="false">(1+Assumptions!$D$32)^(C14-1)</f>
        <v>1</v>
      </c>
      <c r="AB14" s="36" t="n">
        <f aca="false">O14*Assumptions!$D$27*AA14</f>
        <v>198.221867147603</v>
      </c>
      <c r="AC14" s="36" t="n">
        <f aca="false">(Q13+R13)*Assumptions!$D$28*AA14</f>
        <v>1354.02800348718</v>
      </c>
      <c r="AD14" s="36" t="n">
        <f aca="false">M14*Assumptions!$D$29*AA14</f>
        <v>475.770619079625</v>
      </c>
      <c r="AE14" s="36" t="n">
        <f aca="false">T13*Assumptions!$D$30*AA14</f>
        <v>137.380547258431</v>
      </c>
      <c r="AF14" s="36" t="n">
        <f aca="false">U13*Assumptions!$D$31*AA14</f>
        <v>0</v>
      </c>
      <c r="AG14" s="36" t="n">
        <f aca="false">X14*Assumptions!$D$37*Assumptions!$D$38</f>
        <v>244.850131182777</v>
      </c>
      <c r="AH14" s="36" t="n">
        <f aca="false">Z14*Assumptions!$D$44*Assumptions!$D$45</f>
        <v>0</v>
      </c>
      <c r="AI14" s="36" t="n">
        <f aca="false">SUM(AB14:AH14)</f>
        <v>2410.25116815561</v>
      </c>
      <c r="AJ14" s="36" t="n">
        <f aca="false">(S14*Assumptions!$D$28+T14*Assumptions!$D$30+U14*Assumptions!$D$31)*AA14+AG14+AH14</f>
        <v>1937.35486520043</v>
      </c>
      <c r="AK14" s="36" t="n">
        <f aca="false">(AI14-AH14)*Assumptions!$D$49</f>
        <v>91.5895443899132</v>
      </c>
      <c r="AL14" s="36" t="n">
        <f aca="false">(AC14+AE14+AF14)*Assumptions!$D$50</f>
        <v>10.4398598552192</v>
      </c>
      <c r="AM14" s="36" t="n">
        <f aca="false">S14*Assumptions!$D$51+M14*Assumptions!$D$52</f>
        <v>33.7298734128851</v>
      </c>
      <c r="AN14" s="36" t="n">
        <f aca="false">Assumptions!$D$53+Assumptions!$D$54*(S14+T14+U14)</f>
        <v>202.467885253452</v>
      </c>
      <c r="AO14" s="36" t="n">
        <f aca="false">IF(C14&gt;=2,Assumptions!$D$55,0)</f>
        <v>0</v>
      </c>
      <c r="AP14" s="33" t="n">
        <f aca="false">E14*Assumptions!$D$60/60+F14*Assumptions!$D$61+J14*Assumptions!$D$62+(S14+T14)*Assumptions!$D$63+X14*Assumptions!$D$64+Z14*Assumptions!$D$65+U14*Assumptions!$D$66+Assumptions!$D$67*52/12</f>
        <v>77.4381225398103</v>
      </c>
      <c r="AQ14" s="33" t="n">
        <f aca="false">IF(BC13=1,Assumptions!$D$69,Assumptions!$D$68)*52/12</f>
        <v>108.333333333333</v>
      </c>
      <c r="AR14" s="33" t="n">
        <f aca="false">MAX(0,AP14-AQ14)</f>
        <v>0</v>
      </c>
      <c r="AS14" s="36" t="n">
        <f aca="false">AR14*Assumptions!$D$70*Assumptions!$D$71</f>
        <v>0</v>
      </c>
      <c r="AT14" s="36" t="n">
        <f aca="false">Assumptions!$D$56/12</f>
        <v>75</v>
      </c>
      <c r="AU14" s="36" t="n">
        <f aca="false">IF(A14=1,Assumptions!$D$57,0)+Assumptions!$D$58</f>
        <v>45</v>
      </c>
      <c r="AV14" s="36" t="n">
        <f aca="false">IF(AND(Y14&gt;0,Y14=A14),Assumptions!$D$46,0)+IF(Y14&gt;0,Assumptions!$D$47,0)</f>
        <v>0</v>
      </c>
      <c r="AW14" s="36" t="n">
        <f aca="false">AK14+AL14+AM14+AN14+AO14+AS14+AT14+AU14+AV14</f>
        <v>458.22716291147</v>
      </c>
      <c r="AX14" s="36" t="n">
        <f aca="false">AI14-AW14</f>
        <v>1952.02400524414</v>
      </c>
      <c r="AY14" s="36" t="n">
        <f aca="false">MAX(0,AX14)*Assumptions!$D$73</f>
        <v>546.56672146836</v>
      </c>
      <c r="AZ14" s="36" t="n">
        <f aca="false">AX14-AY14</f>
        <v>1405.45728377578</v>
      </c>
      <c r="BA14" s="36" t="n">
        <f aca="false">BA13+AZ14</f>
        <v>6344.74739265297</v>
      </c>
      <c r="BB14" s="31" t="n">
        <f aca="false">IF(AZ14&gt;=Assumptions!$D$74/12,BB13+1,0)</f>
        <v>0</v>
      </c>
      <c r="BC14" s="31" t="n">
        <f aca="false">IF(OR(BC13=1,BB14&gt;=3),1,0)</f>
        <v>0</v>
      </c>
      <c r="BD14" s="31" t="n">
        <f aca="false">IF(AZ14&gt;=Assumptions!$D$75/12,BD13+1,0)</f>
        <v>0</v>
      </c>
      <c r="BE14" s="33" t="n">
        <f aca="false">AP14*12/52</f>
        <v>17.8703359707254</v>
      </c>
      <c r="BF14" s="33" t="n">
        <f aca="false">AR14*12/52</f>
        <v>0</v>
      </c>
      <c r="BG14" s="31" t="n">
        <f aca="false">IF(AX14&gt;0,A14,999)</f>
        <v>10</v>
      </c>
      <c r="BH14" s="31" t="n">
        <f aca="false">IF(BB14&gt;=3,A14,999)</f>
        <v>999</v>
      </c>
      <c r="BI14" s="31" t="n">
        <f aca="false">IF(BD14&gt;=3,A14,999)</f>
        <v>999</v>
      </c>
    </row>
    <row r="15" customFormat="false" ht="15" hidden="false" customHeight="false" outlineLevel="0" collapsed="false">
      <c r="A15" s="31" t="n">
        <v>11</v>
      </c>
      <c r="B15" s="32" t="n">
        <f aca="false">DATE(2026,10+A15,1)</f>
        <v>46631</v>
      </c>
      <c r="C15" s="31" t="n">
        <f aca="false">INT((A15-1)/12)+1</f>
        <v>1</v>
      </c>
      <c r="D15" s="31" t="n">
        <f aca="false">IF(C15=1,Assumptions!$D$7,IF(C15=2,Assumptions!$D$8,Assumptions!$D$9))</f>
        <v>15</v>
      </c>
      <c r="E15" s="31" t="n">
        <f aca="false">D15*Assumptions!$D$10</f>
        <v>315</v>
      </c>
      <c r="F15" s="33" t="n">
        <f aca="false">E15*Assumptions!$D$11</f>
        <v>25.2</v>
      </c>
      <c r="G15" s="34" t="n">
        <f aca="false">MIN(1,Assumptions!$D$13+(1-Assumptions!$D$13)*(A15-1)/Assumptions!$D$14)</f>
        <v>1</v>
      </c>
      <c r="H15" s="33" t="n">
        <f aca="false">F15*Assumptions!$D$12*G15</f>
        <v>3.024</v>
      </c>
      <c r="I15" s="33" t="n">
        <f aca="false">Assumptions!$D$15*(Q14+R14+T14+U14)</f>
        <v>0.17489295084484</v>
      </c>
      <c r="J15" s="33" t="n">
        <f aca="false">H15+I15</f>
        <v>3.19889295084484</v>
      </c>
      <c r="K15" s="33" t="n">
        <f aca="false">J15*Assumptions!$D$18</f>
        <v>0</v>
      </c>
      <c r="L15" s="33" t="n">
        <f aca="false">(J15-K15)*Assumptions!$D$17</f>
        <v>2.23922506559139</v>
      </c>
      <c r="M15" s="33" t="n">
        <f aca="false">J15-K15-L15</f>
        <v>0.959667885253452</v>
      </c>
      <c r="N15" s="33" t="n">
        <f aca="false">L15*Assumptions!$D$19</f>
        <v>0.223922506559139</v>
      </c>
      <c r="O15" s="33" t="n">
        <f aca="false">L15-N15</f>
        <v>2.01530255903225</v>
      </c>
      <c r="P15" s="33" t="n">
        <f aca="false">0</f>
        <v>0</v>
      </c>
      <c r="Q15" s="33" t="n">
        <f aca="false">Q14*(1-Assumptions!$D$20)+O15-P15</f>
        <v>17.4023984650313</v>
      </c>
      <c r="R15" s="33" t="n">
        <f aca="false">R14*(1-Assumptions!$D$22)+P15*(1-Assumptions!$D$21)</f>
        <v>0</v>
      </c>
      <c r="S15" s="33" t="n">
        <f aca="false">Q15+R15</f>
        <v>17.4023984650313</v>
      </c>
      <c r="T15" s="33" t="n">
        <f aca="false">T14*(1-Assumptions!$D$24)+M15*Assumptions!$D$23</f>
        <v>2.1470695043602</v>
      </c>
      <c r="U15" s="33" t="n">
        <f aca="false">U14*(1-Assumptions!$D$25)+K15</f>
        <v>0</v>
      </c>
      <c r="V15" s="33" t="n">
        <f aca="false">V14+M15</f>
        <v>8.65069283866645</v>
      </c>
      <c r="W15" s="33" t="n">
        <f aca="false">N15+Q14*Assumptions!$D$20+P15*Assumptions!$D$21+R14*Assumptions!$D$22+T14*Assumptions!$D$24+U14*Assumptions!$D$25</f>
        <v>0.466952546259943</v>
      </c>
      <c r="X15" s="33" t="n">
        <f aca="false">IF(A15&lt;Assumptions!$D$34,0,Assumptions!$D$36*MIN(1,(A15-Assumptions!$D$34+1)/Assumptions!$D$35))*(S15+T15)</f>
        <v>3.9098935938783</v>
      </c>
      <c r="Y15" s="31" t="n">
        <f aca="false">IF(Y14&gt;0,Y14,IF(AND(A15&gt;=Assumptions!$D$41,Q14+R14+T14&gt;=Assumptions!$D$40),A15,0))</f>
        <v>0</v>
      </c>
      <c r="Z15" s="33" t="n">
        <f aca="false">IF(Y15&gt;0,Assumptions!$D$42*MIN(1,(A15-Y15+1)/Assumptions!$D$43),0)*(S15+T15)</f>
        <v>0</v>
      </c>
      <c r="AA15" s="35" t="n">
        <f aca="false">(1+Assumptions!$D$32)^(C15-1)</f>
        <v>1</v>
      </c>
      <c r="AB15" s="36" t="n">
        <f aca="false">O15*Assumptions!$D$27*AA15</f>
        <v>199.514953344193</v>
      </c>
      <c r="AC15" s="36" t="n">
        <f aca="false">(Q14+R14)*Assumptions!$D$28*AA15</f>
        <v>1538.70959059991</v>
      </c>
      <c r="AD15" s="36" t="n">
        <f aca="false">M15*Assumptions!$D$29*AA15</f>
        <v>478.874274741473</v>
      </c>
      <c r="AE15" s="36" t="n">
        <f aca="false">T14*Assumptions!$D$30*AA15</f>
        <v>153.795143417748</v>
      </c>
      <c r="AF15" s="36" t="n">
        <f aca="false">U14*Assumptions!$D$31*AA15</f>
        <v>0</v>
      </c>
      <c r="AG15" s="36" t="n">
        <f aca="false">X15*Assumptions!$D$37*Assumptions!$D$38</f>
        <v>273.692551571481</v>
      </c>
      <c r="AH15" s="36" t="n">
        <f aca="false">Z15*Assumptions!$D$44*Assumptions!$D$45</f>
        <v>0</v>
      </c>
      <c r="AI15" s="36" t="n">
        <f aca="false">SUM(AB15:AH15)</f>
        <v>2644.5865136748</v>
      </c>
      <c r="AJ15" s="36" t="n">
        <f aca="false">(S15*Assumptions!$D$28+T15*Assumptions!$D$30+U15*Assumptions!$D$31)*AA15+AG15+AH15</f>
        <v>2166.14849045404</v>
      </c>
      <c r="AK15" s="36" t="n">
        <f aca="false">(AI15-AH15)*Assumptions!$D$49</f>
        <v>100.494287519642</v>
      </c>
      <c r="AL15" s="36" t="n">
        <f aca="false">(AC15+AE15+AF15)*Assumptions!$D$50</f>
        <v>11.8475331381236</v>
      </c>
      <c r="AM15" s="36" t="n">
        <f aca="false">S15*Assumptions!$D$51+M15*Assumptions!$D$52</f>
        <v>36.1480163600909</v>
      </c>
      <c r="AN15" s="36" t="n">
        <f aca="false">Assumptions!$D$53+Assumptions!$D$54*(S15+T15+U15)</f>
        <v>208.648403908175</v>
      </c>
      <c r="AO15" s="36" t="n">
        <f aca="false">IF(C15&gt;=2,Assumptions!$D$55,0)</f>
        <v>0</v>
      </c>
      <c r="AP15" s="33" t="n">
        <f aca="false">E15*Assumptions!$D$60/60+F15*Assumptions!$D$61+J15*Assumptions!$D$62+(S15+T15)*Assumptions!$D$63+X15*Assumptions!$D$64+Z15*Assumptions!$D$65+U15*Assumptions!$D$66+Assumptions!$D$67*52/12</f>
        <v>80.9818814496553</v>
      </c>
      <c r="AQ15" s="33" t="n">
        <f aca="false">IF(BC14=1,Assumptions!$D$69,Assumptions!$D$68)*52/12</f>
        <v>108.333333333333</v>
      </c>
      <c r="AR15" s="33" t="n">
        <f aca="false">MAX(0,AP15-AQ15)</f>
        <v>0</v>
      </c>
      <c r="AS15" s="36" t="n">
        <f aca="false">AR15*Assumptions!$D$70*Assumptions!$D$71</f>
        <v>0</v>
      </c>
      <c r="AT15" s="36" t="n">
        <f aca="false">Assumptions!$D$56/12</f>
        <v>75</v>
      </c>
      <c r="AU15" s="36" t="n">
        <f aca="false">IF(A15=1,Assumptions!$D$57,0)+Assumptions!$D$58</f>
        <v>45</v>
      </c>
      <c r="AV15" s="36" t="n">
        <f aca="false">IF(AND(Y15&gt;0,Y15=A15),Assumptions!$D$46,0)+IF(Y15&gt;0,Assumptions!$D$47,0)</f>
        <v>0</v>
      </c>
      <c r="AW15" s="36" t="n">
        <f aca="false">AK15+AL15+AM15+AN15+AO15+AS15+AT15+AU15+AV15</f>
        <v>477.138240926032</v>
      </c>
      <c r="AX15" s="36" t="n">
        <f aca="false">AI15-AW15</f>
        <v>2167.44827274877</v>
      </c>
      <c r="AY15" s="36" t="n">
        <f aca="false">MAX(0,AX15)*Assumptions!$D$73</f>
        <v>606.885516369656</v>
      </c>
      <c r="AZ15" s="36" t="n">
        <f aca="false">AX15-AY15</f>
        <v>1560.56275637911</v>
      </c>
      <c r="BA15" s="36" t="n">
        <f aca="false">BA14+AZ15</f>
        <v>7905.31014903208</v>
      </c>
      <c r="BB15" s="31" t="n">
        <f aca="false">IF(AZ15&gt;=Assumptions!$D$74/12,BB14+1,0)</f>
        <v>0</v>
      </c>
      <c r="BC15" s="31" t="n">
        <f aca="false">IF(OR(BC14=1,BB15&gt;=3),1,0)</f>
        <v>0</v>
      </c>
      <c r="BD15" s="31" t="n">
        <f aca="false">IF(AZ15&gt;=Assumptions!$D$75/12,BD14+1,0)</f>
        <v>0</v>
      </c>
      <c r="BE15" s="33" t="n">
        <f aca="false">AP15*12/52</f>
        <v>18.688126488382</v>
      </c>
      <c r="BF15" s="33" t="n">
        <f aca="false">AR15*12/52</f>
        <v>0</v>
      </c>
      <c r="BG15" s="31" t="n">
        <f aca="false">IF(AX15&gt;0,A15,999)</f>
        <v>11</v>
      </c>
      <c r="BH15" s="31" t="n">
        <f aca="false">IF(BB15&gt;=3,A15,999)</f>
        <v>999</v>
      </c>
      <c r="BI15" s="31" t="n">
        <f aca="false">IF(BD15&gt;=3,A15,999)</f>
        <v>999</v>
      </c>
    </row>
    <row r="16" customFormat="false" ht="15" hidden="false" customHeight="false" outlineLevel="0" collapsed="false">
      <c r="A16" s="37" t="n">
        <v>12</v>
      </c>
      <c r="B16" s="38" t="n">
        <f aca="false">DATE(2026,10+A16,1)</f>
        <v>46661</v>
      </c>
      <c r="C16" s="37" t="n">
        <f aca="false">INT((A16-1)/12)+1</f>
        <v>1</v>
      </c>
      <c r="D16" s="37" t="n">
        <f aca="false">IF(C16=1,Assumptions!$D$7,IF(C16=2,Assumptions!$D$8,Assumptions!$D$9))</f>
        <v>15</v>
      </c>
      <c r="E16" s="37" t="n">
        <f aca="false">D16*Assumptions!$D$10</f>
        <v>315</v>
      </c>
      <c r="F16" s="39" t="n">
        <f aca="false">E16*Assumptions!$D$11</f>
        <v>25.2</v>
      </c>
      <c r="G16" s="40" t="n">
        <f aca="false">MIN(1,Assumptions!$D$13+(1-Assumptions!$D$13)*(A16-1)/Assumptions!$D$14)</f>
        <v>1</v>
      </c>
      <c r="H16" s="39" t="n">
        <f aca="false">F16*Assumptions!$D$12*G16</f>
        <v>3.024</v>
      </c>
      <c r="I16" s="39" t="n">
        <f aca="false">Assumptions!$D$15*(Q15+R15+T15+U15)</f>
        <v>0.195494679693915</v>
      </c>
      <c r="J16" s="39" t="n">
        <f aca="false">H16+I16</f>
        <v>3.21949467969392</v>
      </c>
      <c r="K16" s="39" t="n">
        <f aca="false">J16*Assumptions!$D$18</f>
        <v>0</v>
      </c>
      <c r="L16" s="39" t="n">
        <f aca="false">(J16-K16)*Assumptions!$D$17</f>
        <v>2.25364627578574</v>
      </c>
      <c r="M16" s="39" t="n">
        <f aca="false">J16-K16-L16</f>
        <v>0.965848403908175</v>
      </c>
      <c r="N16" s="39" t="n">
        <f aca="false">L16*Assumptions!$D$19</f>
        <v>0.225364627578574</v>
      </c>
      <c r="O16" s="39" t="n">
        <f aca="false">L16-N16</f>
        <v>2.02828164820717</v>
      </c>
      <c r="P16" s="39" t="n">
        <f aca="false">0</f>
        <v>0</v>
      </c>
      <c r="Q16" s="39" t="n">
        <f aca="false">Q15*(1-Assumptions!$D$20)+O16-P16</f>
        <v>19.2566561285882</v>
      </c>
      <c r="R16" s="39" t="n">
        <f aca="false">R15*(1-Assumptions!$D$22)+P16*(1-Assumptions!$D$21)</f>
        <v>0</v>
      </c>
      <c r="S16" s="39" t="n">
        <f aca="false">Q16+R16</f>
        <v>19.2566561285882</v>
      </c>
      <c r="T16" s="39" t="n">
        <f aca="false">T15*(1-Assumptions!$D$24)+M16*Assumptions!$D$23</f>
        <v>2.34020589783644</v>
      </c>
      <c r="U16" s="39" t="n">
        <f aca="false">U15*(1-Assumptions!$D$25)+K16</f>
        <v>0</v>
      </c>
      <c r="V16" s="39" t="n">
        <f aca="false">V15+M16</f>
        <v>9.61654124257462</v>
      </c>
      <c r="W16" s="39" t="n">
        <f aca="false">N16+Q15*Assumptions!$D$20+P16*Assumptions!$D$21+R15*Assumptions!$D$22+T15*Assumptions!$D$24+U15*Assumptions!$D$25</f>
        <v>0.496006739925096</v>
      </c>
      <c r="X16" s="39" t="n">
        <f aca="false">IF(A16&lt;Assumptions!$D$34,0,Assumptions!$D$36*MIN(1,(A16-Assumptions!$D$34+1)/Assumptions!$D$35))*(S16+T16)</f>
        <v>4.31937240528492</v>
      </c>
      <c r="Y16" s="37" t="n">
        <f aca="false">IF(Y15&gt;0,Y15,IF(AND(A16&gt;=Assumptions!$D$41,Q15+R15+T15&gt;=Assumptions!$D$40),A16,0))</f>
        <v>0</v>
      </c>
      <c r="Z16" s="39" t="n">
        <f aca="false">IF(Y16&gt;0,Assumptions!$D$42*MIN(1,(A16-Y16+1)/Assumptions!$D$43),0)*(S16+T16)</f>
        <v>0</v>
      </c>
      <c r="AA16" s="41" t="n">
        <f aca="false">(1+Assumptions!$D$32)^(C16-1)</f>
        <v>1</v>
      </c>
      <c r="AB16" s="42" t="n">
        <f aca="false">O16*Assumptions!$D$27*AA16</f>
        <v>200.79988317251</v>
      </c>
      <c r="AC16" s="42" t="n">
        <f aca="false">(Q15+R15)*Assumptions!$D$28*AA16</f>
        <v>1722.8374480381</v>
      </c>
      <c r="AD16" s="42" t="n">
        <f aca="false">M16*Assumptions!$D$29*AA16</f>
        <v>481.958353550179</v>
      </c>
      <c r="AE16" s="42" t="n">
        <f aca="false">T15*Assumptions!$D$30*AA16</f>
        <v>169.618490844456</v>
      </c>
      <c r="AF16" s="42" t="n">
        <f aca="false">U15*Assumptions!$D$31*AA16</f>
        <v>0</v>
      </c>
      <c r="AG16" s="42" t="n">
        <f aca="false">X16*Assumptions!$D$37*Assumptions!$D$38</f>
        <v>302.356068369945</v>
      </c>
      <c r="AH16" s="42" t="n">
        <f aca="false">Z16*Assumptions!$D$44*Assumptions!$D$45</f>
        <v>0</v>
      </c>
      <c r="AI16" s="42" t="n">
        <f aca="false">SUM(AB16:AH16)</f>
        <v>2877.57024397519</v>
      </c>
      <c r="AJ16" s="42" t="n">
        <f aca="false">(S16*Assumptions!$D$28+T16*Assumptions!$D$30+U16*Assumptions!$D$31)*AA16+AG16+AH16</f>
        <v>2393.64129102925</v>
      </c>
      <c r="AK16" s="42" t="n">
        <f aca="false">(AI16-AH16)*Assumptions!$D$49</f>
        <v>109.347669271057</v>
      </c>
      <c r="AL16" s="42" t="n">
        <f aca="false">(AC16+AE16+AF16)*Assumptions!$D$50</f>
        <v>13.2471915721779</v>
      </c>
      <c r="AM16" s="42" t="n">
        <f aca="false">S16*Assumptions!$D$51+M16*Assumptions!$D$52</f>
        <v>38.5585462193578</v>
      </c>
      <c r="AN16" s="42" t="n">
        <f aca="false">Assumptions!$D$53+Assumptions!$D$54*(S16+T16+U16)</f>
        <v>214.790586079274</v>
      </c>
      <c r="AO16" s="42" t="n">
        <f aca="false">IF(C16&gt;=2,Assumptions!$D$55,0)</f>
        <v>0</v>
      </c>
      <c r="AP16" s="39" t="n">
        <f aca="false">E16*Assumptions!$D$60/60+F16*Assumptions!$D$61+J16*Assumptions!$D$62+(S16+T16)*Assumptions!$D$63+X16*Assumptions!$D$64+Z16*Assumptions!$D$65+U16*Assumptions!$D$66+Assumptions!$D$67*52/12</f>
        <v>84.5036548043097</v>
      </c>
      <c r="AQ16" s="39" t="n">
        <f aca="false">IF(BC15=1,Assumptions!$D$69,Assumptions!$D$68)*52/12</f>
        <v>108.333333333333</v>
      </c>
      <c r="AR16" s="39" t="n">
        <f aca="false">MAX(0,AP16-AQ16)</f>
        <v>0</v>
      </c>
      <c r="AS16" s="42" t="n">
        <f aca="false">AR16*Assumptions!$D$70*Assumptions!$D$71</f>
        <v>0</v>
      </c>
      <c r="AT16" s="42" t="n">
        <f aca="false">Assumptions!$D$56/12</f>
        <v>75</v>
      </c>
      <c r="AU16" s="42" t="n">
        <f aca="false">IF(A16=1,Assumptions!$D$57,0)+Assumptions!$D$58</f>
        <v>45</v>
      </c>
      <c r="AV16" s="42" t="n">
        <f aca="false">IF(AND(Y16&gt;0,Y16=A16),Assumptions!$D$46,0)+IF(Y16&gt;0,Assumptions!$D$47,0)</f>
        <v>0</v>
      </c>
      <c r="AW16" s="42" t="n">
        <f aca="false">AK16+AL16+AM16+AN16+AO16+AS16+AT16+AU16+AV16</f>
        <v>495.943993141867</v>
      </c>
      <c r="AX16" s="42" t="n">
        <f aca="false">AI16-AW16</f>
        <v>2381.62625083332</v>
      </c>
      <c r="AY16" s="42" t="n">
        <f aca="false">MAX(0,AX16)*Assumptions!$D$73</f>
        <v>666.855350233331</v>
      </c>
      <c r="AZ16" s="42" t="n">
        <f aca="false">AX16-AY16</f>
        <v>1714.77090059999</v>
      </c>
      <c r="BA16" s="42" t="n">
        <f aca="false">BA15+AZ16</f>
        <v>9620.08104963208</v>
      </c>
      <c r="BB16" s="37" t="n">
        <f aca="false">IF(AZ16&gt;=Assumptions!$D$74/12,BB15+1,0)</f>
        <v>0</v>
      </c>
      <c r="BC16" s="37" t="n">
        <f aca="false">IF(OR(BC15=1,BB16&gt;=3),1,0)</f>
        <v>0</v>
      </c>
      <c r="BD16" s="37" t="n">
        <f aca="false">IF(AZ16&gt;=Assumptions!$D$75/12,BD15+1,0)</f>
        <v>0</v>
      </c>
      <c r="BE16" s="39" t="n">
        <f aca="false">AP16*12/52</f>
        <v>19.5008434163792</v>
      </c>
      <c r="BF16" s="39" t="n">
        <f aca="false">AR16*12/52</f>
        <v>0</v>
      </c>
      <c r="BG16" s="37" t="n">
        <f aca="false">IF(AX16&gt;0,A16,999)</f>
        <v>12</v>
      </c>
      <c r="BH16" s="37" t="n">
        <f aca="false">IF(BB16&gt;=3,A16,999)</f>
        <v>999</v>
      </c>
      <c r="BI16" s="37" t="n">
        <f aca="false">IF(BD16&gt;=3,A16,999)</f>
        <v>999</v>
      </c>
    </row>
    <row r="17" customFormat="false" ht="15" hidden="false" customHeight="false" outlineLevel="0" collapsed="false">
      <c r="A17" s="31" t="n">
        <v>13</v>
      </c>
      <c r="B17" s="32" t="n">
        <f aca="false">DATE(2026,10+A17,1)</f>
        <v>46692</v>
      </c>
      <c r="C17" s="31" t="n">
        <f aca="false">INT((A17-1)/12)+1</f>
        <v>2</v>
      </c>
      <c r="D17" s="31" t="n">
        <f aca="false">IF(C17=1,Assumptions!$D$7,IF(C17=2,Assumptions!$D$8,Assumptions!$D$9))</f>
        <v>20</v>
      </c>
      <c r="E17" s="31" t="n">
        <f aca="false">D17*Assumptions!$D$10</f>
        <v>420</v>
      </c>
      <c r="F17" s="33" t="n">
        <f aca="false">E17*Assumptions!$D$11</f>
        <v>33.6</v>
      </c>
      <c r="G17" s="34" t="n">
        <f aca="false">MIN(1,Assumptions!$D$13+(1-Assumptions!$D$13)*(A17-1)/Assumptions!$D$14)</f>
        <v>1</v>
      </c>
      <c r="H17" s="33" t="n">
        <f aca="false">F17*Assumptions!$D$12*G17</f>
        <v>4.032</v>
      </c>
      <c r="I17" s="33" t="n">
        <f aca="false">Assumptions!$D$15*(Q16+R16+T16+U16)</f>
        <v>0.215968620264246</v>
      </c>
      <c r="J17" s="33" t="n">
        <f aca="false">H17+I17</f>
        <v>4.24796862026425</v>
      </c>
      <c r="K17" s="33" t="n">
        <f aca="false">J17*Assumptions!$D$18</f>
        <v>0</v>
      </c>
      <c r="L17" s="33" t="n">
        <f aca="false">(J17-K17)*Assumptions!$D$17</f>
        <v>2.97357803418497</v>
      </c>
      <c r="M17" s="33" t="n">
        <f aca="false">J17-K17-L17</f>
        <v>1.27439058607927</v>
      </c>
      <c r="N17" s="33" t="n">
        <f aca="false">L17*Assumptions!$D$19</f>
        <v>0.297357803418497</v>
      </c>
      <c r="O17" s="33" t="n">
        <f aca="false">L17-N17</f>
        <v>2.67622023076648</v>
      </c>
      <c r="P17" s="33" t="n">
        <f aca="false">O5*(1-Assumptions!$D$20)^12</f>
        <v>0.844334773401916</v>
      </c>
      <c r="Q17" s="33" t="n">
        <f aca="false">Q16*(1-Assumptions!$D$20)+O17-P17</f>
        <v>20.8959750246669</v>
      </c>
      <c r="R17" s="33" t="n">
        <f aca="false">R16*(1-Assumptions!$D$22)+P17*(1-Assumptions!$D$21)</f>
        <v>0.675467818721533</v>
      </c>
      <c r="S17" s="33" t="n">
        <f aca="false">Q17+R17</f>
        <v>21.5714428433884</v>
      </c>
      <c r="T17" s="33" t="n">
        <f aca="false">T16*(1-Assumptions!$D$24)+M17*Assumptions!$D$23</f>
        <v>2.61721380825759</v>
      </c>
      <c r="U17" s="33" t="n">
        <f aca="false">U16*(1-Assumptions!$D$25)+K17</f>
        <v>0</v>
      </c>
      <c r="V17" s="33" t="n">
        <f aca="false">V16+M17</f>
        <v>10.8909318286539</v>
      </c>
      <c r="W17" s="33" t="n">
        <f aca="false">N17+Q16*Assumptions!$D$20+P17*Assumptions!$D$21+R16*Assumptions!$D$22+T16*Assumptions!$D$24+U16*Assumptions!$D$25</f>
        <v>0.764100584787402</v>
      </c>
      <c r="X17" s="33" t="n">
        <f aca="false">IF(A17&lt;Assumptions!$D$34,0,Assumptions!$D$36*MIN(1,(A17-Assumptions!$D$34+1)/Assumptions!$D$35))*(S17+T17)</f>
        <v>4.83773133032919</v>
      </c>
      <c r="Y17" s="31" t="n">
        <f aca="false">IF(Y16&gt;0,Y16,IF(AND(A17&gt;=Assumptions!$D$41,Q16+R16+T16&gt;=Assumptions!$D$40),A17,0))</f>
        <v>13</v>
      </c>
      <c r="Z17" s="33" t="n">
        <f aca="false">IF(Y17&gt;0,Assumptions!$D$42*MIN(1,(A17-Y17+1)/Assumptions!$D$43),0)*(S17+T17)</f>
        <v>0.604716416291149</v>
      </c>
      <c r="AA17" s="35" t="n">
        <f aca="false">(1+Assumptions!$D$32)^(C17-1)</f>
        <v>1.03</v>
      </c>
      <c r="AB17" s="36" t="n">
        <f aca="false">O17*Assumptions!$D$27*AA17</f>
        <v>272.894176931257</v>
      </c>
      <c r="AC17" s="36" t="n">
        <f aca="false">(Q16+R16)*Assumptions!$D$28*AA17</f>
        <v>1963.60122543214</v>
      </c>
      <c r="AD17" s="36" t="n">
        <f aca="false">M17*Assumptions!$D$29*AA17</f>
        <v>654.998529527165</v>
      </c>
      <c r="AE17" s="36" t="n">
        <f aca="false">T16*Assumptions!$D$30*AA17</f>
        <v>190.422553906951</v>
      </c>
      <c r="AF17" s="36" t="n">
        <f aca="false">U16*Assumptions!$D$31*AA17</f>
        <v>0</v>
      </c>
      <c r="AG17" s="36" t="n">
        <f aca="false">X17*Assumptions!$D$37*Assumptions!$D$38</f>
        <v>338.641193123044</v>
      </c>
      <c r="AH17" s="36" t="n">
        <f aca="false">Z17*Assumptions!$D$44*Assumptions!$D$45</f>
        <v>18.1414924887345</v>
      </c>
      <c r="AI17" s="36" t="n">
        <f aca="false">SUM(AB17:AH17)</f>
        <v>3438.69917140929</v>
      </c>
      <c r="AJ17" s="36" t="n">
        <f aca="false">(S17*Assumptions!$D$28+T17*Assumptions!$D$30+U17*Assumptions!$D$31)*AA17+AG17+AH17</f>
        <v>2769.38539993001</v>
      </c>
      <c r="AK17" s="36" t="n">
        <f aca="false">(AI17-AH17)*Assumptions!$D$49</f>
        <v>129.981191798981</v>
      </c>
      <c r="AL17" s="36" t="n">
        <f aca="false">(AC17+AE17+AF17)*Assumptions!$D$50</f>
        <v>15.0781664553736</v>
      </c>
      <c r="AM17" s="36" t="n">
        <f aca="false">S17*Assumptions!$D$51+M17*Assumptions!$D$52</f>
        <v>46.0801623454246</v>
      </c>
      <c r="AN17" s="36" t="n">
        <f aca="false">Assumptions!$D$53+Assumptions!$D$54*(S17+T17+U17)</f>
        <v>222.565969954938</v>
      </c>
      <c r="AO17" s="36" t="n">
        <f aca="false">IF(C17&gt;=2,Assumptions!$D$55,0)</f>
        <v>100</v>
      </c>
      <c r="AP17" s="33" t="n">
        <f aca="false">E17*Assumptions!$D$60/60+F17*Assumptions!$D$61+J17*Assumptions!$D$62+(S17+T17)*Assumptions!$D$63+X17*Assumptions!$D$64+Z17*Assumptions!$D$65+U17*Assumptions!$D$66+Assumptions!$D$67*52/12</f>
        <v>100.567832652399</v>
      </c>
      <c r="AQ17" s="33" t="n">
        <f aca="false">IF(BC16=1,Assumptions!$D$69,Assumptions!$D$68)*52/12</f>
        <v>108.333333333333</v>
      </c>
      <c r="AR17" s="33" t="n">
        <f aca="false">MAX(0,AP17-AQ17)</f>
        <v>0</v>
      </c>
      <c r="AS17" s="36" t="n">
        <f aca="false">AR17*Assumptions!$D$70*Assumptions!$D$71</f>
        <v>0</v>
      </c>
      <c r="AT17" s="36" t="n">
        <f aca="false">Assumptions!$D$56/12</f>
        <v>75</v>
      </c>
      <c r="AU17" s="36" t="n">
        <f aca="false">IF(A17=1,Assumptions!$D$57,0)+Assumptions!$D$58</f>
        <v>45</v>
      </c>
      <c r="AV17" s="36" t="n">
        <f aca="false">IF(AND(Y17&gt;0,Y17=A17),Assumptions!$D$46,0)+IF(Y17&gt;0,Assumptions!$D$47,0)</f>
        <v>3050</v>
      </c>
      <c r="AW17" s="36" t="n">
        <f aca="false">AK17+AL17+AM17+AN17+AO17+AS17+AT17+AU17+AV17</f>
        <v>3683.70549055472</v>
      </c>
      <c r="AX17" s="36" t="n">
        <f aca="false">AI17-AW17</f>
        <v>-245.00631914543</v>
      </c>
      <c r="AY17" s="36" t="n">
        <f aca="false">MAX(0,AX17)*Assumptions!$D$73</f>
        <v>0</v>
      </c>
      <c r="AZ17" s="36" t="n">
        <f aca="false">AX17-AY17</f>
        <v>-245.00631914543</v>
      </c>
      <c r="BA17" s="36" t="n">
        <f aca="false">BA16+AZ17</f>
        <v>9375.07473048665</v>
      </c>
      <c r="BB17" s="31" t="n">
        <f aca="false">IF(AZ17&gt;=Assumptions!$D$74/12,BB16+1,0)</f>
        <v>0</v>
      </c>
      <c r="BC17" s="31" t="n">
        <f aca="false">IF(OR(BC16=1,BB17&gt;=3),1,0)</f>
        <v>0</v>
      </c>
      <c r="BD17" s="31" t="n">
        <f aca="false">IF(AZ17&gt;=Assumptions!$D$75/12,BD16+1,0)</f>
        <v>0</v>
      </c>
      <c r="BE17" s="33" t="n">
        <f aca="false">AP17*12/52</f>
        <v>23.2079613813229</v>
      </c>
      <c r="BF17" s="33" t="n">
        <f aca="false">AR17*12/52</f>
        <v>0</v>
      </c>
      <c r="BG17" s="31" t="n">
        <f aca="false">IF(AX17&gt;0,A17,999)</f>
        <v>999</v>
      </c>
      <c r="BH17" s="31" t="n">
        <f aca="false">IF(BB17&gt;=3,A17,999)</f>
        <v>999</v>
      </c>
      <c r="BI17" s="31" t="n">
        <f aca="false">IF(BD17&gt;=3,A17,999)</f>
        <v>999</v>
      </c>
    </row>
    <row r="18" customFormat="false" ht="15" hidden="false" customHeight="false" outlineLevel="0" collapsed="false">
      <c r="A18" s="31" t="n">
        <v>14</v>
      </c>
      <c r="B18" s="32" t="n">
        <f aca="false">DATE(2026,10+A18,1)</f>
        <v>46722</v>
      </c>
      <c r="C18" s="31" t="n">
        <f aca="false">INT((A18-1)/12)+1</f>
        <v>2</v>
      </c>
      <c r="D18" s="31" t="n">
        <f aca="false">IF(C18=1,Assumptions!$D$7,IF(C18=2,Assumptions!$D$8,Assumptions!$D$9))</f>
        <v>20</v>
      </c>
      <c r="E18" s="31" t="n">
        <f aca="false">D18*Assumptions!$D$10</f>
        <v>420</v>
      </c>
      <c r="F18" s="33" t="n">
        <f aca="false">E18*Assumptions!$D$11</f>
        <v>33.6</v>
      </c>
      <c r="G18" s="34" t="n">
        <f aca="false">MIN(1,Assumptions!$D$13+(1-Assumptions!$D$13)*(A18-1)/Assumptions!$D$14)</f>
        <v>1</v>
      </c>
      <c r="H18" s="33" t="n">
        <f aca="false">F18*Assumptions!$D$12*G18</f>
        <v>4.032</v>
      </c>
      <c r="I18" s="33" t="n">
        <f aca="false">Assumptions!$D$15*(Q17+R17+T17+U17)</f>
        <v>0.24188656651646</v>
      </c>
      <c r="J18" s="33" t="n">
        <f aca="false">H18+I18</f>
        <v>4.27388656651646</v>
      </c>
      <c r="K18" s="33" t="n">
        <f aca="false">J18*Assumptions!$D$18</f>
        <v>0</v>
      </c>
      <c r="L18" s="33" t="n">
        <f aca="false">(J18-K18)*Assumptions!$D$17</f>
        <v>2.99172059656152</v>
      </c>
      <c r="M18" s="33" t="n">
        <f aca="false">J18-K18-L18</f>
        <v>1.28216596995494</v>
      </c>
      <c r="N18" s="33" t="n">
        <f aca="false">L18*Assumptions!$D$19</f>
        <v>0.299172059656152</v>
      </c>
      <c r="O18" s="33" t="n">
        <f aca="false">L18-N18</f>
        <v>2.69254853690537</v>
      </c>
      <c r="P18" s="33" t="n">
        <f aca="false">O6*(1-Assumptions!$D$20)^12</f>
        <v>0.991136446004063</v>
      </c>
      <c r="Q18" s="33" t="n">
        <f aca="false">Q17*(1-Assumptions!$D$20)+O18-P18</f>
        <v>22.3884273653215</v>
      </c>
      <c r="R18" s="33" t="n">
        <f aca="false">R17*(1-Assumptions!$D$22)+P18*(1-Assumptions!$D$21)</f>
        <v>1.44473560186953</v>
      </c>
      <c r="S18" s="33" t="n">
        <f aca="false">Q18+R18</f>
        <v>23.833162967191</v>
      </c>
      <c r="T18" s="33" t="n">
        <f aca="false">T17*(1-Assumptions!$D$24)+M18*Assumptions!$D$23</f>
        <v>2.88408897787248</v>
      </c>
      <c r="U18" s="33" t="n">
        <f aca="false">U17*(1-Assumptions!$D$25)+K18</f>
        <v>0</v>
      </c>
      <c r="V18" s="33" t="n">
        <f aca="false">V17+M18</f>
        <v>12.1730977986088</v>
      </c>
      <c r="W18" s="33" t="n">
        <f aca="false">N18+Q17*Assumptions!$D$20+P18*Assumptions!$D$21+R17*Assumptions!$D$22+T17*Assumptions!$D$24+U17*Assumptions!$D$25</f>
        <v>0.847775094130478</v>
      </c>
      <c r="X18" s="33" t="n">
        <f aca="false">IF(A18&lt;Assumptions!$D$34,0,Assumptions!$D$36*MIN(1,(A18-Assumptions!$D$34+1)/Assumptions!$D$35))*(S18+T18)</f>
        <v>5.3434503890127</v>
      </c>
      <c r="Y18" s="31" t="n">
        <f aca="false">IF(Y17&gt;0,Y17,IF(AND(A18&gt;=Assumptions!$D$41,Q17+R17+T17&gt;=Assumptions!$D$40),A18,0))</f>
        <v>13</v>
      </c>
      <c r="Z18" s="33" t="n">
        <f aca="false">IF(Y18&gt;0,Assumptions!$D$42*MIN(1,(A18-Y18+1)/Assumptions!$D$43),0)*(S18+T18)</f>
        <v>1.33586259725317</v>
      </c>
      <c r="AA18" s="35" t="n">
        <f aca="false">(1+Assumptions!$D$32)^(C18-1)</f>
        <v>1.03</v>
      </c>
      <c r="AB18" s="36" t="n">
        <f aca="false">O18*Assumptions!$D$27*AA18</f>
        <v>274.559174308241</v>
      </c>
      <c r="AC18" s="36" t="n">
        <f aca="false">(Q17+R17)*Assumptions!$D$28*AA18</f>
        <v>2199.64002674031</v>
      </c>
      <c r="AD18" s="36" t="n">
        <f aca="false">M18*Assumptions!$D$29*AA18</f>
        <v>658.99484357774</v>
      </c>
      <c r="AE18" s="36" t="n">
        <f aca="false">T17*Assumptions!$D$30*AA18</f>
        <v>212.96268757792</v>
      </c>
      <c r="AF18" s="36" t="n">
        <f aca="false">U17*Assumptions!$D$31*AA18</f>
        <v>0</v>
      </c>
      <c r="AG18" s="36" t="n">
        <f aca="false">X18*Assumptions!$D$37*Assumptions!$D$38</f>
        <v>374.041527230889</v>
      </c>
      <c r="AH18" s="36" t="n">
        <f aca="false">Z18*Assumptions!$D$44*Assumptions!$D$45</f>
        <v>40.0758779175952</v>
      </c>
      <c r="AI18" s="36" t="n">
        <f aca="false">SUM(AB18:AH18)</f>
        <v>3760.2741373527</v>
      </c>
      <c r="AJ18" s="36" t="n">
        <f aca="false">(S18*Assumptions!$D$28+T18*Assumptions!$D$30+U18*Assumptions!$D$31)*AA18+AG18+AH18</f>
        <v>3079.06335304244</v>
      </c>
      <c r="AK18" s="36" t="n">
        <f aca="false">(AI18-AH18)*Assumptions!$D$49</f>
        <v>141.367533858534</v>
      </c>
      <c r="AL18" s="36" t="n">
        <f aca="false">(AC18+AE18+AF18)*Assumptions!$D$50</f>
        <v>16.8882190002276</v>
      </c>
      <c r="AM18" s="36" t="n">
        <f aca="false">S18*Assumptions!$D$51+M18*Assumptions!$D$52</f>
        <v>49.0239432583128</v>
      </c>
      <c r="AN18" s="36" t="n">
        <f aca="false">Assumptions!$D$53+Assumptions!$D$54*(S18+T18+U18)</f>
        <v>230.15175583519</v>
      </c>
      <c r="AO18" s="36" t="n">
        <f aca="false">IF(C18&gt;=2,Assumptions!$D$55,0)</f>
        <v>100</v>
      </c>
      <c r="AP18" s="33" t="n">
        <f aca="false">E18*Assumptions!$D$60/60+F18*Assumptions!$D$61+J18*Assumptions!$D$62+(S18+T18)*Assumptions!$D$63+X18*Assumptions!$D$64+Z18*Assumptions!$D$65+U18*Assumptions!$D$66+Assumptions!$D$67*52/12</f>
        <v>105.101067088954</v>
      </c>
      <c r="AQ18" s="33" t="n">
        <f aca="false">IF(BC17=1,Assumptions!$D$69,Assumptions!$D$68)*52/12</f>
        <v>108.333333333333</v>
      </c>
      <c r="AR18" s="33" t="n">
        <f aca="false">MAX(0,AP18-AQ18)</f>
        <v>0</v>
      </c>
      <c r="AS18" s="36" t="n">
        <f aca="false">AR18*Assumptions!$D$70*Assumptions!$D$71</f>
        <v>0</v>
      </c>
      <c r="AT18" s="36" t="n">
        <f aca="false">Assumptions!$D$56/12</f>
        <v>75</v>
      </c>
      <c r="AU18" s="36" t="n">
        <f aca="false">IF(A18=1,Assumptions!$D$57,0)+Assumptions!$D$58</f>
        <v>45</v>
      </c>
      <c r="AV18" s="36" t="n">
        <f aca="false">IF(AND(Y18&gt;0,Y18=A18),Assumptions!$D$46,0)+IF(Y18&gt;0,Assumptions!$D$47,0)</f>
        <v>50</v>
      </c>
      <c r="AW18" s="36" t="n">
        <f aca="false">AK18+AL18+AM18+AN18+AO18+AS18+AT18+AU18+AV18</f>
        <v>707.431451952265</v>
      </c>
      <c r="AX18" s="36" t="n">
        <f aca="false">AI18-AW18</f>
        <v>3052.84268540043</v>
      </c>
      <c r="AY18" s="36" t="n">
        <f aca="false">MAX(0,AX18)*Assumptions!$D$73</f>
        <v>854.795951912121</v>
      </c>
      <c r="AZ18" s="36" t="n">
        <f aca="false">AX18-AY18</f>
        <v>2198.04673348831</v>
      </c>
      <c r="BA18" s="36" t="n">
        <f aca="false">BA17+AZ18</f>
        <v>11573.121463975</v>
      </c>
      <c r="BB18" s="31" t="n">
        <f aca="false">IF(AZ18&gt;=Assumptions!$D$74/12,BB17+1,0)</f>
        <v>0</v>
      </c>
      <c r="BC18" s="31" t="n">
        <f aca="false">IF(OR(BC17=1,BB18&gt;=3),1,0)</f>
        <v>0</v>
      </c>
      <c r="BD18" s="31" t="n">
        <f aca="false">IF(AZ18&gt;=Assumptions!$D$75/12,BD17+1,0)</f>
        <v>0</v>
      </c>
      <c r="BE18" s="33" t="n">
        <f aca="false">AP18*12/52</f>
        <v>24.2540924051433</v>
      </c>
      <c r="BF18" s="33" t="n">
        <f aca="false">AR18*12/52</f>
        <v>0</v>
      </c>
      <c r="BG18" s="31" t="n">
        <f aca="false">IF(AX18&gt;0,A18,999)</f>
        <v>14</v>
      </c>
      <c r="BH18" s="31" t="n">
        <f aca="false">IF(BB18&gt;=3,A18,999)</f>
        <v>999</v>
      </c>
      <c r="BI18" s="31" t="n">
        <f aca="false">IF(BD18&gt;=3,A18,999)</f>
        <v>999</v>
      </c>
    </row>
    <row r="19" customFormat="false" ht="15" hidden="false" customHeight="false" outlineLevel="0" collapsed="false">
      <c r="A19" s="31" t="n">
        <v>15</v>
      </c>
      <c r="B19" s="32" t="n">
        <f aca="false">DATE(2026,10+A19,1)</f>
        <v>46753</v>
      </c>
      <c r="C19" s="31" t="n">
        <f aca="false">INT((A19-1)/12)+1</f>
        <v>2</v>
      </c>
      <c r="D19" s="31" t="n">
        <f aca="false">IF(C19=1,Assumptions!$D$7,IF(C19=2,Assumptions!$D$8,Assumptions!$D$9))</f>
        <v>20</v>
      </c>
      <c r="E19" s="31" t="n">
        <f aca="false">D19*Assumptions!$D$10</f>
        <v>420</v>
      </c>
      <c r="F19" s="33" t="n">
        <f aca="false">E19*Assumptions!$D$11</f>
        <v>33.6</v>
      </c>
      <c r="G19" s="34" t="n">
        <f aca="false">MIN(1,Assumptions!$D$13+(1-Assumptions!$D$13)*(A19-1)/Assumptions!$D$14)</f>
        <v>1</v>
      </c>
      <c r="H19" s="33" t="n">
        <f aca="false">F19*Assumptions!$D$12*G19</f>
        <v>4.032</v>
      </c>
      <c r="I19" s="33" t="n">
        <f aca="false">Assumptions!$D$15*(Q18+R18+T18+U18)</f>
        <v>0.267172519450635</v>
      </c>
      <c r="J19" s="33" t="n">
        <f aca="false">H19+I19</f>
        <v>4.29917251945064</v>
      </c>
      <c r="K19" s="33" t="n">
        <f aca="false">J19*Assumptions!$D$18</f>
        <v>0</v>
      </c>
      <c r="L19" s="33" t="n">
        <f aca="false">(J19-K19)*Assumptions!$D$17</f>
        <v>3.00942076361544</v>
      </c>
      <c r="M19" s="33" t="n">
        <f aca="false">J19-K19-L19</f>
        <v>1.28975175583519</v>
      </c>
      <c r="N19" s="33" t="n">
        <f aca="false">L19*Assumptions!$D$19</f>
        <v>0.300942076361544</v>
      </c>
      <c r="O19" s="33" t="n">
        <f aca="false">L19-N19</f>
        <v>2.7084786872539</v>
      </c>
      <c r="P19" s="33" t="n">
        <f aca="false">O7*(1-Assumptions!$D$20)^12</f>
        <v>1.1389077019999</v>
      </c>
      <c r="Q19" s="33" t="n">
        <f aca="false">Q18*(1-Assumptions!$D$20)+O19-P19</f>
        <v>23.7341140769223</v>
      </c>
      <c r="R19" s="33" t="n">
        <f aca="false">R18*(1-Assumptions!$D$22)+P19*(1-Assumptions!$D$21)</f>
        <v>2.30529601740401</v>
      </c>
      <c r="S19" s="33" t="n">
        <f aca="false">Q19+R19</f>
        <v>26.0394100943263</v>
      </c>
      <c r="T19" s="33" t="n">
        <f aca="false">T18*(1-Assumptions!$D$24)+M19*Assumptions!$D$23</f>
        <v>3.14123050061877</v>
      </c>
      <c r="U19" s="33" t="n">
        <f aca="false">U18*(1-Assumptions!$D$25)+K19</f>
        <v>0</v>
      </c>
      <c r="V19" s="33" t="n">
        <f aca="false">V18+M19</f>
        <v>13.462849554444</v>
      </c>
      <c r="W19" s="33" t="n">
        <f aca="false">N19+Q18*Assumptions!$D$20+P19*Assumptions!$D$21+R18*Assumptions!$D$22+T18*Assumptions!$D$24+U18*Assumptions!$D$25</f>
        <v>0.932957640484434</v>
      </c>
      <c r="X19" s="33" t="n">
        <f aca="false">IF(A19&lt;Assumptions!$D$34,0,Assumptions!$D$36*MIN(1,(A19-Assumptions!$D$34+1)/Assumptions!$D$35))*(S19+T19)</f>
        <v>5.83612811898901</v>
      </c>
      <c r="Y19" s="31" t="n">
        <f aca="false">IF(Y18&gt;0,Y18,IF(AND(A19&gt;=Assumptions!$D$41,Q18+R18+T18&gt;=Assumptions!$D$40),A19,0))</f>
        <v>13</v>
      </c>
      <c r="Z19" s="33" t="n">
        <f aca="false">IF(Y19&gt;0,Assumptions!$D$42*MIN(1,(A19-Y19+1)/Assumptions!$D$43),0)*(S19+T19)</f>
        <v>2.18854804462088</v>
      </c>
      <c r="AA19" s="35" t="n">
        <f aca="false">(1+Assumptions!$D$32)^(C19-1)</f>
        <v>1.03</v>
      </c>
      <c r="AB19" s="36" t="n">
        <f aca="false">O19*Assumptions!$D$27*AA19</f>
        <v>276.18357173928</v>
      </c>
      <c r="AC19" s="36" t="n">
        <f aca="false">(Q18+R18)*Assumptions!$D$28*AA19</f>
        <v>2430.26762776447</v>
      </c>
      <c r="AD19" s="36" t="n">
        <f aca="false">M19*Assumptions!$D$29*AA19</f>
        <v>662.893709946613</v>
      </c>
      <c r="AE19" s="36" t="n">
        <f aca="false">T18*Assumptions!$D$30*AA19</f>
        <v>234.678320129483</v>
      </c>
      <c r="AF19" s="36" t="n">
        <f aca="false">U18*Assumptions!$D$31*AA19</f>
        <v>0</v>
      </c>
      <c r="AG19" s="36" t="n">
        <f aca="false">X19*Assumptions!$D$37*Assumptions!$D$38</f>
        <v>408.528968329231</v>
      </c>
      <c r="AH19" s="36" t="n">
        <f aca="false">Z19*Assumptions!$D$44*Assumptions!$D$45</f>
        <v>65.6564413386264</v>
      </c>
      <c r="AI19" s="36" t="n">
        <f aca="false">SUM(AB19:AH19)</f>
        <v>4078.2086392477</v>
      </c>
      <c r="AJ19" s="36" t="n">
        <f aca="false">(S19*Assumptions!$D$28+T19*Assumptions!$D$30+U19*Assumptions!$D$31)*AA19+AG19+AH19</f>
        <v>3385.02598282166</v>
      </c>
      <c r="AK19" s="36" t="n">
        <f aca="false">(AI19-AH19)*Assumptions!$D$49</f>
        <v>152.476983520545</v>
      </c>
      <c r="AL19" s="36" t="n">
        <f aca="false">(AC19+AE19+AF19)*Assumptions!$D$50</f>
        <v>18.6546216352577</v>
      </c>
      <c r="AM19" s="36" t="n">
        <f aca="false">S19*Assumptions!$D$51+M19*Assumptions!$D$52</f>
        <v>51.8955389554357</v>
      </c>
      <c r="AN19" s="36" t="n">
        <f aca="false">Assumptions!$D$53+Assumptions!$D$54*(S19+T19+U19)</f>
        <v>237.541921784835</v>
      </c>
      <c r="AO19" s="36" t="n">
        <f aca="false">IF(C19&gt;=2,Assumptions!$D$55,0)</f>
        <v>100</v>
      </c>
      <c r="AP19" s="33" t="n">
        <f aca="false">E19*Assumptions!$D$60/60+F19*Assumptions!$D$61+J19*Assumptions!$D$62+(S19+T19)*Assumptions!$D$63+X19*Assumptions!$D$64+Z19*Assumptions!$D$65+U19*Assumptions!$D$66+Assumptions!$D$67*52/12</f>
        <v>109.552571061463</v>
      </c>
      <c r="AQ19" s="33" t="n">
        <f aca="false">IF(BC18=1,Assumptions!$D$69,Assumptions!$D$68)*52/12</f>
        <v>108.333333333333</v>
      </c>
      <c r="AR19" s="33" t="n">
        <f aca="false">MAX(0,AP19-AQ19)</f>
        <v>1.21923772812976</v>
      </c>
      <c r="AS19" s="36" t="n">
        <f aca="false">AR19*Assumptions!$D$70*Assumptions!$D$71</f>
        <v>13.7164244414597</v>
      </c>
      <c r="AT19" s="36" t="n">
        <f aca="false">Assumptions!$D$56/12</f>
        <v>75</v>
      </c>
      <c r="AU19" s="36" t="n">
        <f aca="false">IF(A19=1,Assumptions!$D$57,0)+Assumptions!$D$58</f>
        <v>45</v>
      </c>
      <c r="AV19" s="36" t="n">
        <f aca="false">IF(AND(Y19&gt;0,Y19=A19),Assumptions!$D$46,0)+IF(Y19&gt;0,Assumptions!$D$47,0)</f>
        <v>50</v>
      </c>
      <c r="AW19" s="36" t="n">
        <f aca="false">AK19+AL19+AM19+AN19+AO19+AS19+AT19+AU19+AV19</f>
        <v>744.285490337533</v>
      </c>
      <c r="AX19" s="36" t="n">
        <f aca="false">AI19-AW19</f>
        <v>3333.92314891017</v>
      </c>
      <c r="AY19" s="36" t="n">
        <f aca="false">MAX(0,AX19)*Assumptions!$D$73</f>
        <v>933.498481694847</v>
      </c>
      <c r="AZ19" s="36" t="n">
        <f aca="false">AX19-AY19</f>
        <v>2400.42466721532</v>
      </c>
      <c r="BA19" s="36" t="n">
        <f aca="false">BA18+AZ19</f>
        <v>13973.5461311903</v>
      </c>
      <c r="BB19" s="31" t="n">
        <f aca="false">IF(AZ19&gt;=Assumptions!$D$74/12,BB18+1,0)</f>
        <v>0</v>
      </c>
      <c r="BC19" s="31" t="n">
        <f aca="false">IF(OR(BC18=1,BB19&gt;=3),1,0)</f>
        <v>0</v>
      </c>
      <c r="BD19" s="31" t="n">
        <f aca="false">IF(AZ19&gt;=Assumptions!$D$75/12,BD18+1,0)</f>
        <v>0</v>
      </c>
      <c r="BE19" s="33" t="n">
        <f aca="false">AP19*12/52</f>
        <v>25.2813625526453</v>
      </c>
      <c r="BF19" s="33" t="n">
        <f aca="false">AR19*12/52</f>
        <v>0.281362552645328</v>
      </c>
      <c r="BG19" s="31" t="n">
        <f aca="false">IF(AX19&gt;0,A19,999)</f>
        <v>15</v>
      </c>
      <c r="BH19" s="31" t="n">
        <f aca="false">IF(BB19&gt;=3,A19,999)</f>
        <v>999</v>
      </c>
      <c r="BI19" s="31" t="n">
        <f aca="false">IF(BD19&gt;=3,A19,999)</f>
        <v>999</v>
      </c>
    </row>
    <row r="20" customFormat="false" ht="15" hidden="false" customHeight="false" outlineLevel="0" collapsed="false">
      <c r="A20" s="31" t="n">
        <v>16</v>
      </c>
      <c r="B20" s="32" t="n">
        <f aca="false">DATE(2026,10+A20,1)</f>
        <v>46784</v>
      </c>
      <c r="C20" s="31" t="n">
        <f aca="false">INT((A20-1)/12)+1</f>
        <v>2</v>
      </c>
      <c r="D20" s="31" t="n">
        <f aca="false">IF(C20=1,Assumptions!$D$7,IF(C20=2,Assumptions!$D$8,Assumptions!$D$9))</f>
        <v>20</v>
      </c>
      <c r="E20" s="31" t="n">
        <f aca="false">D20*Assumptions!$D$10</f>
        <v>420</v>
      </c>
      <c r="F20" s="33" t="n">
        <f aca="false">E20*Assumptions!$D$11</f>
        <v>33.6</v>
      </c>
      <c r="G20" s="34" t="n">
        <f aca="false">MIN(1,Assumptions!$D$13+(1-Assumptions!$D$13)*(A20-1)/Assumptions!$D$14)</f>
        <v>1</v>
      </c>
      <c r="H20" s="33" t="n">
        <f aca="false">F20*Assumptions!$D$12*G20</f>
        <v>4.032</v>
      </c>
      <c r="I20" s="33" t="n">
        <f aca="false">Assumptions!$D$15*(Q19+R19+T19+U19)</f>
        <v>0.291806405949451</v>
      </c>
      <c r="J20" s="33" t="n">
        <f aca="false">H20+I20</f>
        <v>4.32380640594945</v>
      </c>
      <c r="K20" s="33" t="n">
        <f aca="false">J20*Assumptions!$D$18</f>
        <v>0</v>
      </c>
      <c r="L20" s="33" t="n">
        <f aca="false">(J20-K20)*Assumptions!$D$17</f>
        <v>3.02666448416462</v>
      </c>
      <c r="M20" s="33" t="n">
        <f aca="false">J20-K20-L20</f>
        <v>1.29714192178484</v>
      </c>
      <c r="N20" s="33" t="n">
        <f aca="false">L20*Assumptions!$D$19</f>
        <v>0.302666448416462</v>
      </c>
      <c r="O20" s="33" t="n">
        <f aca="false">L20-N20</f>
        <v>2.72399803574815</v>
      </c>
      <c r="P20" s="33" t="n">
        <f aca="false">O8*(1-Assumptions!$D$20)^12</f>
        <v>1.28764239914777</v>
      </c>
      <c r="Q20" s="33" t="n">
        <f aca="false">Q19*(1-Assumptions!$D$20)+O20-P20</f>
        <v>24.9331285727534</v>
      </c>
      <c r="R20" s="33" t="n">
        <f aca="false">R19*(1-Assumptions!$D$22)+P20*(1-Assumptions!$D$21)</f>
        <v>3.25472457611309</v>
      </c>
      <c r="S20" s="33" t="n">
        <f aca="false">Q20+R20</f>
        <v>28.1878531488665</v>
      </c>
      <c r="T20" s="33" t="n">
        <f aca="false">T19*(1-Assumptions!$D$24)+M20*Assumptions!$D$23</f>
        <v>3.38901770462638</v>
      </c>
      <c r="U20" s="33" t="n">
        <f aca="false">U19*(1-Assumptions!$D$25)+K20</f>
        <v>0</v>
      </c>
      <c r="V20" s="33" t="n">
        <f aca="false">V19+M20</f>
        <v>14.7599914762289</v>
      </c>
      <c r="W20" s="33" t="n">
        <f aca="false">N20+Q19*Assumptions!$D$20+P20*Assumptions!$D$21+R19*Assumptions!$D$22+T19*Assumptions!$D$24+U19*Assumptions!$D$25</f>
        <v>1.01957680215222</v>
      </c>
      <c r="X20" s="33" t="n">
        <f aca="false">IF(A20&lt;Assumptions!$D$34,0,Assumptions!$D$36*MIN(1,(A20-Assumptions!$D$34+1)/Assumptions!$D$35))*(S20+T20)</f>
        <v>6.31537417069858</v>
      </c>
      <c r="Y20" s="31" t="n">
        <f aca="false">IF(Y19&gt;0,Y19,IF(AND(A20&gt;=Assumptions!$D$41,Q19+R19+T19&gt;=Assumptions!$D$40),A20,0))</f>
        <v>13</v>
      </c>
      <c r="Z20" s="33" t="n">
        <f aca="false">IF(Y20&gt;0,Assumptions!$D$42*MIN(1,(A20-Y20+1)/Assumptions!$D$43),0)*(S20+T20)</f>
        <v>3.15768708534929</v>
      </c>
      <c r="AA20" s="35" t="n">
        <f aca="false">(1+Assumptions!$D$32)^(C20-1)</f>
        <v>1.03</v>
      </c>
      <c r="AB20" s="36" t="n">
        <f aca="false">O20*Assumptions!$D$27*AA20</f>
        <v>277.766079705239</v>
      </c>
      <c r="AC20" s="36" t="n">
        <f aca="false">(Q19+R19)*Assumptions!$D$28*AA20</f>
        <v>2655.23864731845</v>
      </c>
      <c r="AD20" s="36" t="n">
        <f aca="false">M20*Assumptions!$D$29*AA20</f>
        <v>666.692033539752</v>
      </c>
      <c r="AE20" s="36" t="n">
        <f aca="false">T19*Assumptions!$D$30*AA20</f>
        <v>255.601925835349</v>
      </c>
      <c r="AF20" s="36" t="n">
        <f aca="false">U19*Assumptions!$D$31*AA20</f>
        <v>0</v>
      </c>
      <c r="AG20" s="36" t="n">
        <f aca="false">X20*Assumptions!$D$37*Assumptions!$D$38</f>
        <v>442.076191948901</v>
      </c>
      <c r="AH20" s="36" t="n">
        <f aca="false">Z20*Assumptions!$D$44*Assumptions!$D$45</f>
        <v>94.7306125604787</v>
      </c>
      <c r="AI20" s="36" t="n">
        <f aca="false">SUM(AB20:AH20)</f>
        <v>4392.10549090817</v>
      </c>
      <c r="AJ20" s="36" t="n">
        <f aca="false">(S20*Assumptions!$D$28+T20*Assumptions!$D$30+U20*Assumptions!$D$31)*AA20+AG20+AH20</f>
        <v>3686.88656072475</v>
      </c>
      <c r="AK20" s="36" t="n">
        <f aca="false">(AI20-AH20)*Assumptions!$D$49</f>
        <v>163.300245377212</v>
      </c>
      <c r="AL20" s="36" t="n">
        <f aca="false">(AC20+AE20+AF20)*Assumptions!$D$50</f>
        <v>20.3758840120766</v>
      </c>
      <c r="AM20" s="36" t="n">
        <f aca="false">S20*Assumptions!$D$51+M20*Assumptions!$D$52</f>
        <v>54.6919452628557</v>
      </c>
      <c r="AN20" s="36" t="n">
        <f aca="false">Assumptions!$D$53+Assumptions!$D$54*(S20+T20+U20)</f>
        <v>244.730612560479</v>
      </c>
      <c r="AO20" s="36" t="n">
        <f aca="false">IF(C20&gt;=2,Assumptions!$D$55,0)</f>
        <v>100</v>
      </c>
      <c r="AP20" s="33" t="n">
        <f aca="false">E20*Assumptions!$D$60/60+F20*Assumptions!$D$61+J20*Assumptions!$D$62+(S20+T20)*Assumptions!$D$63+X20*Assumptions!$D$64+Z20*Assumptions!$D$65+U20*Assumptions!$D$66+Assumptions!$D$67*52/12</f>
        <v>113.917715034174</v>
      </c>
      <c r="AQ20" s="33" t="n">
        <f aca="false">IF(BC19=1,Assumptions!$D$69,Assumptions!$D$68)*52/12</f>
        <v>108.333333333333</v>
      </c>
      <c r="AR20" s="33" t="n">
        <f aca="false">MAX(0,AP20-AQ20)</f>
        <v>5.58438170084082</v>
      </c>
      <c r="AS20" s="36" t="n">
        <f aca="false">AR20*Assumptions!$D$70*Assumptions!$D$71</f>
        <v>62.8242941344593</v>
      </c>
      <c r="AT20" s="36" t="n">
        <f aca="false">Assumptions!$D$56/12</f>
        <v>75</v>
      </c>
      <c r="AU20" s="36" t="n">
        <f aca="false">IF(A20=1,Assumptions!$D$57,0)+Assumptions!$D$58</f>
        <v>45</v>
      </c>
      <c r="AV20" s="36" t="n">
        <f aca="false">IF(AND(Y20&gt;0,Y20=A20),Assumptions!$D$46,0)+IF(Y20&gt;0,Assumptions!$D$47,0)</f>
        <v>50</v>
      </c>
      <c r="AW20" s="36" t="n">
        <f aca="false">AK20+AL20+AM20+AN20+AO20+AS20+AT20+AU20+AV20</f>
        <v>815.922981347083</v>
      </c>
      <c r="AX20" s="36" t="n">
        <f aca="false">AI20-AW20</f>
        <v>3576.18250956109</v>
      </c>
      <c r="AY20" s="36" t="n">
        <f aca="false">MAX(0,AX20)*Assumptions!$D$73</f>
        <v>1001.3311026771</v>
      </c>
      <c r="AZ20" s="36" t="n">
        <f aca="false">AX20-AY20</f>
        <v>2574.85140688398</v>
      </c>
      <c r="BA20" s="36" t="n">
        <f aca="false">BA19+AZ20</f>
        <v>16548.3975380743</v>
      </c>
      <c r="BB20" s="31" t="n">
        <f aca="false">IF(AZ20&gt;=Assumptions!$D$74/12,BB19+1,0)</f>
        <v>0</v>
      </c>
      <c r="BC20" s="31" t="n">
        <f aca="false">IF(OR(BC19=1,BB20&gt;=3),1,0)</f>
        <v>0</v>
      </c>
      <c r="BD20" s="31" t="n">
        <f aca="false">IF(AZ20&gt;=Assumptions!$D$75/12,BD19+1,0)</f>
        <v>0</v>
      </c>
      <c r="BE20" s="33" t="n">
        <f aca="false">AP20*12/52</f>
        <v>26.2887034694248</v>
      </c>
      <c r="BF20" s="33" t="n">
        <f aca="false">AR20*12/52</f>
        <v>1.28870346942481</v>
      </c>
      <c r="BG20" s="31" t="n">
        <f aca="false">IF(AX20&gt;0,A20,999)</f>
        <v>16</v>
      </c>
      <c r="BH20" s="31" t="n">
        <f aca="false">IF(BB20&gt;=3,A20,999)</f>
        <v>999</v>
      </c>
      <c r="BI20" s="31" t="n">
        <f aca="false">IF(BD20&gt;=3,A20,999)</f>
        <v>999</v>
      </c>
    </row>
    <row r="21" customFormat="false" ht="15" hidden="false" customHeight="false" outlineLevel="0" collapsed="false">
      <c r="A21" s="31" t="n">
        <v>17</v>
      </c>
      <c r="B21" s="32" t="n">
        <f aca="false">DATE(2026,10+A21,1)</f>
        <v>46813</v>
      </c>
      <c r="C21" s="31" t="n">
        <f aca="false">INT((A21-1)/12)+1</f>
        <v>2</v>
      </c>
      <c r="D21" s="31" t="n">
        <f aca="false">IF(C21=1,Assumptions!$D$7,IF(C21=2,Assumptions!$D$8,Assumptions!$D$9))</f>
        <v>20</v>
      </c>
      <c r="E21" s="31" t="n">
        <f aca="false">D21*Assumptions!$D$10</f>
        <v>420</v>
      </c>
      <c r="F21" s="33" t="n">
        <f aca="false">E21*Assumptions!$D$11</f>
        <v>33.6</v>
      </c>
      <c r="G21" s="34" t="n">
        <f aca="false">MIN(1,Assumptions!$D$13+(1-Assumptions!$D$13)*(A21-1)/Assumptions!$D$14)</f>
        <v>1</v>
      </c>
      <c r="H21" s="33" t="n">
        <f aca="false">F21*Assumptions!$D$12*G21</f>
        <v>4.032</v>
      </c>
      <c r="I21" s="33" t="n">
        <f aca="false">Assumptions!$D$15*(Q20+R20+T20+U20)</f>
        <v>0.315768708534929</v>
      </c>
      <c r="J21" s="33" t="n">
        <f aca="false">H21+I21</f>
        <v>4.34776870853493</v>
      </c>
      <c r="K21" s="33" t="n">
        <f aca="false">J21*Assumptions!$D$18</f>
        <v>0</v>
      </c>
      <c r="L21" s="33" t="n">
        <f aca="false">(J21-K21)*Assumptions!$D$17</f>
        <v>3.04343809597445</v>
      </c>
      <c r="M21" s="33" t="n">
        <f aca="false">J21-K21-L21</f>
        <v>1.30433061256048</v>
      </c>
      <c r="N21" s="33" t="n">
        <f aca="false">L21*Assumptions!$D$19</f>
        <v>0.304343809597445</v>
      </c>
      <c r="O21" s="33" t="n">
        <f aca="false">L21-N21</f>
        <v>2.73909428637701</v>
      </c>
      <c r="P21" s="33" t="n">
        <f aca="false">O9*(1-Assumptions!$D$20)^12</f>
        <v>1.43733453609581</v>
      </c>
      <c r="Q21" s="33" t="n">
        <f aca="false">Q20*(1-Assumptions!$D$20)+O21-P21</f>
        <v>25.9855570373071</v>
      </c>
      <c r="R21" s="33" t="n">
        <f aca="false">R20*(1-Assumptions!$D$22)+P21*(1-Assumptions!$D$21)</f>
        <v>4.29067684482578</v>
      </c>
      <c r="S21" s="33" t="n">
        <f aca="false">Q21+R21</f>
        <v>30.2762338821329</v>
      </c>
      <c r="T21" s="33" t="n">
        <f aca="false">T20*(1-Assumptions!$D$24)+M21*Assumptions!$D$23</f>
        <v>3.62781109168633</v>
      </c>
      <c r="U21" s="33" t="n">
        <f aca="false">U20*(1-Assumptions!$D$25)+K21</f>
        <v>0</v>
      </c>
      <c r="V21" s="33" t="n">
        <f aca="false">V20+M21</f>
        <v>16.0643220887893</v>
      </c>
      <c r="W21" s="33" t="n">
        <f aca="false">N21+Q20*Assumptions!$D$20+P21*Assumptions!$D$21+R20*Assumptions!$D$22+T20*Assumptions!$D$24+U20*Assumptions!$D$25</f>
        <v>1.10756315941629</v>
      </c>
      <c r="X21" s="33" t="n">
        <f aca="false">IF(A21&lt;Assumptions!$D$34,0,Assumptions!$D$36*MIN(1,(A21-Assumptions!$D$34+1)/Assumptions!$D$35))*(S21+T21)</f>
        <v>6.78080899476384</v>
      </c>
      <c r="Y21" s="31" t="n">
        <f aca="false">IF(Y20&gt;0,Y20,IF(AND(A21&gt;=Assumptions!$D$41,Q20+R20+T20&gt;=Assumptions!$D$40),A21,0))</f>
        <v>13</v>
      </c>
      <c r="Z21" s="33" t="n">
        <f aca="false">IF(Y21&gt;0,Assumptions!$D$42*MIN(1,(A21-Y21+1)/Assumptions!$D$43),0)*(S21+T21)</f>
        <v>4.2380056217274</v>
      </c>
      <c r="AA21" s="35" t="n">
        <f aca="false">(1+Assumptions!$D$32)^(C21-1)</f>
        <v>1.03</v>
      </c>
      <c r="AB21" s="36" t="n">
        <f aca="false">O21*Assumptions!$D$27*AA21</f>
        <v>279.305444381863</v>
      </c>
      <c r="AC21" s="36" t="n">
        <f aca="false">(Q20+R20)*Assumptions!$D$28*AA21</f>
        <v>2874.31538558992</v>
      </c>
      <c r="AD21" s="36" t="n">
        <f aca="false">M21*Assumptions!$D$29*AA21</f>
        <v>670.386804937709</v>
      </c>
      <c r="AE21" s="36" t="n">
        <f aca="false">T20*Assumptions!$D$30*AA21</f>
        <v>275.764370625448</v>
      </c>
      <c r="AF21" s="36" t="n">
        <f aca="false">U20*Assumptions!$D$31*AA21</f>
        <v>0</v>
      </c>
      <c r="AG21" s="36" t="n">
        <f aca="false">X21*Assumptions!$D$37*Assumptions!$D$38</f>
        <v>474.656629633469</v>
      </c>
      <c r="AH21" s="36" t="n">
        <f aca="false">Z21*Assumptions!$D$44*Assumptions!$D$45</f>
        <v>127.140168651822</v>
      </c>
      <c r="AI21" s="36" t="n">
        <f aca="false">SUM(AB21:AH21)</f>
        <v>4701.56880382023</v>
      </c>
      <c r="AJ21" s="36" t="n">
        <f aca="false">(S21*Assumptions!$D$28+T21*Assumptions!$D$30+U21*Assumptions!$D$31)*AA21+AG21+AH21</f>
        <v>3984.2593557769</v>
      </c>
      <c r="AK21" s="36" t="n">
        <f aca="false">(AI21-AH21)*Assumptions!$D$49</f>
        <v>173.8282881364</v>
      </c>
      <c r="AL21" s="36" t="n">
        <f aca="false">(AC21+AE21+AF21)*Assumptions!$D$50</f>
        <v>22.0505582935076</v>
      </c>
      <c r="AM21" s="36" t="n">
        <f aca="false">S21*Assumptions!$D$51+M21*Assumptions!$D$52</f>
        <v>57.4102515410733</v>
      </c>
      <c r="AN21" s="36" t="n">
        <f aca="false">Assumptions!$D$53+Assumptions!$D$54*(S21+T21+U21)</f>
        <v>251.712134921458</v>
      </c>
      <c r="AO21" s="36" t="n">
        <f aca="false">IF(C21&gt;=2,Assumptions!$D$55,0)</f>
        <v>100</v>
      </c>
      <c r="AP21" s="33" t="n">
        <f aca="false">E21*Assumptions!$D$60/60+F21*Assumptions!$D$61+J21*Assumptions!$D$62+(S21+T21)*Assumptions!$D$63+X21*Assumptions!$D$64+Z21*Assumptions!$D$65+U21*Assumptions!$D$66+Assumptions!$D$67*52/12</f>
        <v>118.191915277994</v>
      </c>
      <c r="AQ21" s="33" t="n">
        <f aca="false">IF(BC20=1,Assumptions!$D$69,Assumptions!$D$68)*52/12</f>
        <v>108.333333333333</v>
      </c>
      <c r="AR21" s="33" t="n">
        <f aca="false">MAX(0,AP21-AQ21)</f>
        <v>9.85858194466104</v>
      </c>
      <c r="AS21" s="36" t="n">
        <f aca="false">AR21*Assumptions!$D$70*Assumptions!$D$71</f>
        <v>110.909046877437</v>
      </c>
      <c r="AT21" s="36" t="n">
        <f aca="false">Assumptions!$D$56/12</f>
        <v>75</v>
      </c>
      <c r="AU21" s="36" t="n">
        <f aca="false">IF(A21=1,Assumptions!$D$57,0)+Assumptions!$D$58</f>
        <v>45</v>
      </c>
      <c r="AV21" s="36" t="n">
        <f aca="false">IF(AND(Y21&gt;0,Y21=A21),Assumptions!$D$46,0)+IF(Y21&gt;0,Assumptions!$D$47,0)</f>
        <v>50</v>
      </c>
      <c r="AW21" s="36" t="n">
        <f aca="false">AK21+AL21+AM21+AN21+AO21+AS21+AT21+AU21+AV21</f>
        <v>885.910279769875</v>
      </c>
      <c r="AX21" s="36" t="n">
        <f aca="false">AI21-AW21</f>
        <v>3815.65852405036</v>
      </c>
      <c r="AY21" s="36" t="n">
        <f aca="false">MAX(0,AX21)*Assumptions!$D$73</f>
        <v>1068.3843867341</v>
      </c>
      <c r="AZ21" s="36" t="n">
        <f aca="false">AX21-AY21</f>
        <v>2747.27413731626</v>
      </c>
      <c r="BA21" s="36" t="n">
        <f aca="false">BA20+AZ21</f>
        <v>19295.6716753905</v>
      </c>
      <c r="BB21" s="31" t="n">
        <f aca="false">IF(AZ21&gt;=Assumptions!$D$74/12,BB20+1,0)</f>
        <v>0</v>
      </c>
      <c r="BC21" s="31" t="n">
        <f aca="false">IF(OR(BC20=1,BB21&gt;=3),1,0)</f>
        <v>0</v>
      </c>
      <c r="BD21" s="31" t="n">
        <f aca="false">IF(AZ21&gt;=Assumptions!$D$75/12,BD20+1,0)</f>
        <v>0</v>
      </c>
      <c r="BE21" s="33" t="n">
        <f aca="false">AP21*12/52</f>
        <v>27.2750573718449</v>
      </c>
      <c r="BF21" s="33" t="n">
        <f aca="false">AR21*12/52</f>
        <v>2.27505737184486</v>
      </c>
      <c r="BG21" s="31" t="n">
        <f aca="false">IF(AX21&gt;0,A21,999)</f>
        <v>17</v>
      </c>
      <c r="BH21" s="31" t="n">
        <f aca="false">IF(BB21&gt;=3,A21,999)</f>
        <v>999</v>
      </c>
      <c r="BI21" s="31" t="n">
        <f aca="false">IF(BD21&gt;=3,A21,999)</f>
        <v>999</v>
      </c>
    </row>
    <row r="22" customFormat="false" ht="15" hidden="false" customHeight="false" outlineLevel="0" collapsed="false">
      <c r="A22" s="31" t="n">
        <v>18</v>
      </c>
      <c r="B22" s="32" t="n">
        <f aca="false">DATE(2026,10+A22,1)</f>
        <v>46844</v>
      </c>
      <c r="C22" s="31" t="n">
        <f aca="false">INT((A22-1)/12)+1</f>
        <v>2</v>
      </c>
      <c r="D22" s="31" t="n">
        <f aca="false">IF(C22=1,Assumptions!$D$7,IF(C22=2,Assumptions!$D$8,Assumptions!$D$9))</f>
        <v>20</v>
      </c>
      <c r="E22" s="31" t="n">
        <f aca="false">D22*Assumptions!$D$10</f>
        <v>420</v>
      </c>
      <c r="F22" s="33" t="n">
        <f aca="false">E22*Assumptions!$D$11</f>
        <v>33.6</v>
      </c>
      <c r="G22" s="34" t="n">
        <f aca="false">MIN(1,Assumptions!$D$13+(1-Assumptions!$D$13)*(A22-1)/Assumptions!$D$14)</f>
        <v>1</v>
      </c>
      <c r="H22" s="33" t="n">
        <f aca="false">F22*Assumptions!$D$12*G22</f>
        <v>4.032</v>
      </c>
      <c r="I22" s="33" t="n">
        <f aca="false">Assumptions!$D$15*(Q21+R21+T21+U21)</f>
        <v>0.339040449738192</v>
      </c>
      <c r="J22" s="33" t="n">
        <f aca="false">H22+I22</f>
        <v>4.37104044973819</v>
      </c>
      <c r="K22" s="33" t="n">
        <f aca="false">J22*Assumptions!$D$18</f>
        <v>0</v>
      </c>
      <c r="L22" s="33" t="n">
        <f aca="false">(J22-K22)*Assumptions!$D$17</f>
        <v>3.05972831481673</v>
      </c>
      <c r="M22" s="33" t="n">
        <f aca="false">J22-K22-L22</f>
        <v>1.31131213492146</v>
      </c>
      <c r="N22" s="33" t="n">
        <f aca="false">L22*Assumptions!$D$19</f>
        <v>0.305972831481673</v>
      </c>
      <c r="O22" s="33" t="n">
        <f aca="false">L22-N22</f>
        <v>2.75375548333506</v>
      </c>
      <c r="P22" s="33" t="n">
        <f aca="false">O10*(1-Assumptions!$D$20)^12</f>
        <v>1.58797824661476</v>
      </c>
      <c r="Q22" s="33" t="n">
        <f aca="false">Q21*(1-Assumptions!$D$20)+O22-P22</f>
        <v>26.8914787036543</v>
      </c>
      <c r="R22" s="33" t="n">
        <f aca="false">R21*(1-Assumptions!$D$22)+P22*(1-Assumptions!$D$21)</f>
        <v>5.41088575254868</v>
      </c>
      <c r="S22" s="33" t="n">
        <f aca="false">Q22+R22</f>
        <v>32.302364456203</v>
      </c>
      <c r="T22" s="33" t="n">
        <f aca="false">T21*(1-Assumptions!$D$24)+M22*Assumptions!$D$23</f>
        <v>3.85795323303689</v>
      </c>
      <c r="U22" s="33" t="n">
        <f aca="false">U21*(1-Assumptions!$D$25)+K22</f>
        <v>0</v>
      </c>
      <c r="V22" s="33" t="n">
        <f aca="false">V21+M22</f>
        <v>17.3756342237108</v>
      </c>
      <c r="W22" s="33" t="n">
        <f aca="false">N22+Q21*Assumptions!$D$20+P22*Assumptions!$D$21+R21*Assumptions!$D$22+T21*Assumptions!$D$24+U21*Assumptions!$D$25</f>
        <v>1.19684923987248</v>
      </c>
      <c r="X22" s="33" t="n">
        <f aca="false">IF(A22&lt;Assumptions!$D$34,0,Assumptions!$D$36*MIN(1,(A22-Assumptions!$D$34+1)/Assumptions!$D$35))*(S22+T22)</f>
        <v>7.23206353784798</v>
      </c>
      <c r="Y22" s="31" t="n">
        <f aca="false">IF(Y21&gt;0,Y21,IF(AND(A22&gt;=Assumptions!$D$41,Q21+R21+T21&gt;=Assumptions!$D$40),A22,0))</f>
        <v>13</v>
      </c>
      <c r="Z22" s="33" t="n">
        <f aca="false">IF(Y22&gt;0,Assumptions!$D$42*MIN(1,(A22-Y22+1)/Assumptions!$D$43),0)*(S22+T22)</f>
        <v>5.42404765338598</v>
      </c>
      <c r="AA22" s="35" t="n">
        <f aca="false">(1+Assumptions!$D$32)^(C22-1)</f>
        <v>1.03</v>
      </c>
      <c r="AB22" s="36" t="n">
        <f aca="false">O22*Assumptions!$D$27*AA22</f>
        <v>280.800446635676</v>
      </c>
      <c r="AC22" s="36" t="n">
        <f aca="false">(Q21+R21)*Assumptions!$D$28*AA22</f>
        <v>3087.26756896109</v>
      </c>
      <c r="AD22" s="36" t="n">
        <f aca="false">M22*Assumptions!$D$29*AA22</f>
        <v>673.975097985582</v>
      </c>
      <c r="AE22" s="36" t="n">
        <f aca="false">T21*Assumptions!$D$30*AA22</f>
        <v>295.194988530517</v>
      </c>
      <c r="AF22" s="36" t="n">
        <f aca="false">U21*Assumptions!$D$31*AA22</f>
        <v>0</v>
      </c>
      <c r="AG22" s="36" t="n">
        <f aca="false">X22*Assumptions!$D$37*Assumptions!$D$38</f>
        <v>506.244447649359</v>
      </c>
      <c r="AH22" s="36" t="n">
        <f aca="false">Z22*Assumptions!$D$44*Assumptions!$D$45</f>
        <v>162.72142960158</v>
      </c>
      <c r="AI22" s="36" t="n">
        <f aca="false">SUM(AB22:AH22)</f>
        <v>5006.2039793638</v>
      </c>
      <c r="AJ22" s="36" t="n">
        <f aca="false">(S22*Assumptions!$D$28+T22*Assumptions!$D$30+U22*Assumptions!$D$31)*AA22+AG22+AH22</f>
        <v>4276.75963542217</v>
      </c>
      <c r="AK22" s="36" t="n">
        <f aca="false">(AI22-AH22)*Assumptions!$D$49</f>
        <v>184.052336890964</v>
      </c>
      <c r="AL22" s="36" t="n">
        <f aca="false">(AC22+AE22+AF22)*Assumptions!$D$50</f>
        <v>23.6772379024413</v>
      </c>
      <c r="AM22" s="36" t="n">
        <f aca="false">S22*Assumptions!$D$51+M22*Assumptions!$D$52</f>
        <v>60.0476375940756</v>
      </c>
      <c r="AN22" s="36" t="n">
        <f aca="false">Assumptions!$D$53+Assumptions!$D$54*(S22+T22+U22)</f>
        <v>258.48095306772</v>
      </c>
      <c r="AO22" s="36" t="n">
        <f aca="false">IF(C22&gt;=2,Assumptions!$D$55,0)</f>
        <v>100</v>
      </c>
      <c r="AP22" s="33" t="n">
        <f aca="false">E22*Assumptions!$D$60/60+F22*Assumptions!$D$61+J22*Assumptions!$D$62+(S22+T22)*Assumptions!$D$63+X22*Assumptions!$D$64+Z22*Assumptions!$D$65+U22*Assumptions!$D$66+Assumptions!$D$67*52/12</f>
        <v>122.370632884531</v>
      </c>
      <c r="AQ22" s="33" t="n">
        <f aca="false">IF(BC21=1,Assumptions!$D$69,Assumptions!$D$68)*52/12</f>
        <v>108.333333333333</v>
      </c>
      <c r="AR22" s="33" t="n">
        <f aca="false">MAX(0,AP22-AQ22)</f>
        <v>14.0372995511974</v>
      </c>
      <c r="AS22" s="36" t="n">
        <f aca="false">AR22*Assumptions!$D$70*Assumptions!$D$71</f>
        <v>157.91961995097</v>
      </c>
      <c r="AT22" s="36" t="n">
        <f aca="false">Assumptions!$D$56/12</f>
        <v>75</v>
      </c>
      <c r="AU22" s="36" t="n">
        <f aca="false">IF(A22=1,Assumptions!$D$57,0)+Assumptions!$D$58</f>
        <v>45</v>
      </c>
      <c r="AV22" s="36" t="n">
        <f aca="false">IF(AND(Y22&gt;0,Y22=A22),Assumptions!$D$46,0)+IF(Y22&gt;0,Assumptions!$D$47,0)</f>
        <v>50</v>
      </c>
      <c r="AW22" s="36" t="n">
        <f aca="false">AK22+AL22+AM22+AN22+AO22+AS22+AT22+AU22+AV22</f>
        <v>954.177785406171</v>
      </c>
      <c r="AX22" s="36" t="n">
        <f aca="false">AI22-AW22</f>
        <v>4052.02619395763</v>
      </c>
      <c r="AY22" s="36" t="n">
        <f aca="false">MAX(0,AX22)*Assumptions!$D$73</f>
        <v>1134.56733430814</v>
      </c>
      <c r="AZ22" s="36" t="n">
        <f aca="false">AX22-AY22</f>
        <v>2917.45885964949</v>
      </c>
      <c r="BA22" s="36" t="n">
        <f aca="false">BA21+AZ22</f>
        <v>22213.13053504</v>
      </c>
      <c r="BB22" s="31" t="n">
        <f aca="false">IF(AZ22&gt;=Assumptions!$D$74/12,BB21+1,0)</f>
        <v>0</v>
      </c>
      <c r="BC22" s="31" t="n">
        <f aca="false">IF(OR(BC21=1,BB22&gt;=3),1,0)</f>
        <v>0</v>
      </c>
      <c r="BD22" s="31" t="n">
        <f aca="false">IF(AZ22&gt;=Assumptions!$D$75/12,BD21+1,0)</f>
        <v>0</v>
      </c>
      <c r="BE22" s="33" t="n">
        <f aca="false">AP22*12/52</f>
        <v>28.2393768195071</v>
      </c>
      <c r="BF22" s="33" t="n">
        <f aca="false">AR22*12/52</f>
        <v>3.23937681950708</v>
      </c>
      <c r="BG22" s="31" t="n">
        <f aca="false">IF(AX22&gt;0,A22,999)</f>
        <v>18</v>
      </c>
      <c r="BH22" s="31" t="n">
        <f aca="false">IF(BB22&gt;=3,A22,999)</f>
        <v>999</v>
      </c>
      <c r="BI22" s="31" t="n">
        <f aca="false">IF(BD22&gt;=3,A22,999)</f>
        <v>999</v>
      </c>
    </row>
    <row r="23" customFormat="false" ht="15" hidden="false" customHeight="false" outlineLevel="0" collapsed="false">
      <c r="A23" s="31" t="n">
        <v>19</v>
      </c>
      <c r="B23" s="32" t="n">
        <f aca="false">DATE(2026,10+A23,1)</f>
        <v>46874</v>
      </c>
      <c r="C23" s="31" t="n">
        <f aca="false">INT((A23-1)/12)+1</f>
        <v>2</v>
      </c>
      <c r="D23" s="31" t="n">
        <f aca="false">IF(C23=1,Assumptions!$D$7,IF(C23=2,Assumptions!$D$8,Assumptions!$D$9))</f>
        <v>20</v>
      </c>
      <c r="E23" s="31" t="n">
        <f aca="false">D23*Assumptions!$D$10</f>
        <v>420</v>
      </c>
      <c r="F23" s="33" t="n">
        <f aca="false">E23*Assumptions!$D$11</f>
        <v>33.6</v>
      </c>
      <c r="G23" s="34" t="n">
        <f aca="false">MIN(1,Assumptions!$D$13+(1-Assumptions!$D$13)*(A23-1)/Assumptions!$D$14)</f>
        <v>1</v>
      </c>
      <c r="H23" s="33" t="n">
        <f aca="false">F23*Assumptions!$D$12*G23</f>
        <v>4.032</v>
      </c>
      <c r="I23" s="33" t="n">
        <f aca="false">Assumptions!$D$15*(Q22+R22+T22+U22)</f>
        <v>0.361603176892399</v>
      </c>
      <c r="J23" s="33" t="n">
        <f aca="false">H23+I23</f>
        <v>4.3936031768924</v>
      </c>
      <c r="K23" s="33" t="n">
        <f aca="false">J23*Assumptions!$D$18</f>
        <v>0</v>
      </c>
      <c r="L23" s="33" t="n">
        <f aca="false">(J23-K23)*Assumptions!$D$17</f>
        <v>3.07552222382468</v>
      </c>
      <c r="M23" s="33" t="n">
        <f aca="false">J23-K23-L23</f>
        <v>1.31808095306772</v>
      </c>
      <c r="N23" s="33" t="n">
        <f aca="false">L23*Assumptions!$D$19</f>
        <v>0.307552222382468</v>
      </c>
      <c r="O23" s="33" t="n">
        <f aca="false">L23-N23</f>
        <v>2.76797000144221</v>
      </c>
      <c r="P23" s="33" t="n">
        <f aca="false">O11*(1-Assumptions!$D$20)^12</f>
        <v>1.73956779408437</v>
      </c>
      <c r="Q23" s="33" t="n">
        <f aca="false">Q22*(1-Assumptions!$D$20)+O23-P23</f>
        <v>27.6509661239756</v>
      </c>
      <c r="R23" s="33" t="n">
        <f aca="false">R22*(1-Assumptions!$D$22)+P23*(1-Assumptions!$D$21)</f>
        <v>6.61315898647697</v>
      </c>
      <c r="S23" s="33" t="n">
        <f aca="false">Q23+R23</f>
        <v>34.2641251104526</v>
      </c>
      <c r="T23" s="33" t="n">
        <f aca="false">T22*(1-Assumptions!$D$24)+M23*Assumptions!$D$23</f>
        <v>4.07976962347054</v>
      </c>
      <c r="U23" s="33" t="n">
        <f aca="false">U22*(1-Assumptions!$D$25)+K23</f>
        <v>0</v>
      </c>
      <c r="V23" s="33" t="n">
        <f aca="false">V22+M23</f>
        <v>18.6937151767785</v>
      </c>
      <c r="W23" s="33" t="n">
        <f aca="false">N23+Q22*Assumptions!$D$20+P23*Assumptions!$D$21+R22*Assumptions!$D$22+T22*Assumptions!$D$24+U22*Assumptions!$D$25</f>
        <v>1.28736946506175</v>
      </c>
      <c r="X23" s="33" t="n">
        <f aca="false">IF(A23&lt;Assumptions!$D$34,0,Assumptions!$D$36*MIN(1,(A23-Assumptions!$D$34+1)/Assumptions!$D$35))*(S23+T23)</f>
        <v>7.66877894678463</v>
      </c>
      <c r="Y23" s="31" t="n">
        <f aca="false">IF(Y22&gt;0,Y22,IF(AND(A23&gt;=Assumptions!$D$41,Q22+R22+T22&gt;=Assumptions!$D$40),A23,0))</f>
        <v>13</v>
      </c>
      <c r="Z23" s="33" t="n">
        <f aca="false">IF(Y23&gt;0,Assumptions!$D$42*MIN(1,(A23-Y23+1)/Assumptions!$D$43),0)*(S23+T23)</f>
        <v>6.71018157843655</v>
      </c>
      <c r="AA23" s="35" t="n">
        <f aca="false">(1+Assumptions!$D$32)^(C23-1)</f>
        <v>1.03</v>
      </c>
      <c r="AB23" s="36" t="n">
        <f aca="false">O23*Assumptions!$D$27*AA23</f>
        <v>282.249901047062</v>
      </c>
      <c r="AC23" s="36" t="n">
        <f aca="false">(Q22+R22)*Assumptions!$D$28*AA23</f>
        <v>3293.87210359902</v>
      </c>
      <c r="AD23" s="36" t="n">
        <f aca="false">M23*Assumptions!$D$29*AA23</f>
        <v>677.454067448216</v>
      </c>
      <c r="AE23" s="36" t="n">
        <f aca="false">T22*Assumptions!$D$30*AA23</f>
        <v>313.921654572211</v>
      </c>
      <c r="AF23" s="36" t="n">
        <f aca="false">U22*Assumptions!$D$31*AA23</f>
        <v>0</v>
      </c>
      <c r="AG23" s="36" t="n">
        <f aca="false">X23*Assumptions!$D$37*Assumptions!$D$38</f>
        <v>536.814526274924</v>
      </c>
      <c r="AH23" s="36" t="n">
        <f aca="false">Z23*Assumptions!$D$44*Assumptions!$D$45</f>
        <v>201.305447353097</v>
      </c>
      <c r="AI23" s="36" t="n">
        <f aca="false">SUM(AB23:AH23)</f>
        <v>5305.61770029453</v>
      </c>
      <c r="AJ23" s="36" t="n">
        <f aca="false">(S23*Assumptions!$D$28+T23*Assumptions!$D$30+U23*Assumptions!$D$31)*AA23+AG23+AH23</f>
        <v>4564.00366540267</v>
      </c>
      <c r="AK23" s="36" t="n">
        <f aca="false">(AI23-AH23)*Assumptions!$D$49</f>
        <v>193.963865611774</v>
      </c>
      <c r="AL23" s="36" t="n">
        <f aca="false">(AC23+AE23+AF23)*Assumptions!$D$50</f>
        <v>25.2545563071986</v>
      </c>
      <c r="AM23" s="36" t="n">
        <f aca="false">S23*Assumptions!$D$51+M23*Assumptions!$D$52</f>
        <v>62.6013706840816</v>
      </c>
      <c r="AN23" s="36" t="n">
        <f aca="false">Assumptions!$D$53+Assumptions!$D$54*(S23+T23+U23)</f>
        <v>265.031684201769</v>
      </c>
      <c r="AO23" s="36" t="n">
        <f aca="false">IF(C23&gt;=2,Assumptions!$D$55,0)</f>
        <v>100</v>
      </c>
      <c r="AP23" s="33" t="n">
        <f aca="false">E23*Assumptions!$D$60/60+F23*Assumptions!$D$61+J23*Assumptions!$D$62+(S23+T23)*Assumptions!$D$63+X23*Assumptions!$D$64+Z23*Assumptions!$D$65+U23*Assumptions!$D$66+Assumptions!$D$67*52/12</f>
        <v>126.449372796063</v>
      </c>
      <c r="AQ23" s="33" t="n">
        <f aca="false">IF(BC22=1,Assumptions!$D$69,Assumptions!$D$68)*52/12</f>
        <v>108.333333333333</v>
      </c>
      <c r="AR23" s="33" t="n">
        <f aca="false">MAX(0,AP23-AQ23)</f>
        <v>18.1160394627299</v>
      </c>
      <c r="AS23" s="36" t="n">
        <f aca="false">AR23*Assumptions!$D$70*Assumptions!$D$71</f>
        <v>203.805443955712</v>
      </c>
      <c r="AT23" s="36" t="n">
        <f aca="false">Assumptions!$D$56/12</f>
        <v>75</v>
      </c>
      <c r="AU23" s="36" t="n">
        <f aca="false">IF(A23=1,Assumptions!$D$57,0)+Assumptions!$D$58</f>
        <v>45</v>
      </c>
      <c r="AV23" s="36" t="n">
        <f aca="false">IF(AND(Y23&gt;0,Y23=A23),Assumptions!$D$46,0)+IF(Y23&gt;0,Assumptions!$D$47,0)</f>
        <v>50</v>
      </c>
      <c r="AW23" s="36" t="n">
        <f aca="false">AK23+AL23+AM23+AN23+AO23+AS23+AT23+AU23+AV23</f>
        <v>1020.65692076054</v>
      </c>
      <c r="AX23" s="36" t="n">
        <f aca="false">AI23-AW23</f>
        <v>4284.96077953399</v>
      </c>
      <c r="AY23" s="36" t="n">
        <f aca="false">MAX(0,AX23)*Assumptions!$D$73</f>
        <v>1199.78901826952</v>
      </c>
      <c r="AZ23" s="36" t="n">
        <f aca="false">AX23-AY23</f>
        <v>3085.17176126448</v>
      </c>
      <c r="BA23" s="36" t="n">
        <f aca="false">BA22+AZ23</f>
        <v>25298.3022963045</v>
      </c>
      <c r="BB23" s="31" t="n">
        <f aca="false">IF(AZ23&gt;=Assumptions!$D$74/12,BB22+1,0)</f>
        <v>0</v>
      </c>
      <c r="BC23" s="31" t="n">
        <f aca="false">IF(OR(BC22=1,BB23&gt;=3),1,0)</f>
        <v>0</v>
      </c>
      <c r="BD23" s="31" t="n">
        <f aca="false">IF(AZ23&gt;=Assumptions!$D$75/12,BD22+1,0)</f>
        <v>0</v>
      </c>
      <c r="BE23" s="33" t="n">
        <f aca="false">AP23*12/52</f>
        <v>29.1806244913992</v>
      </c>
      <c r="BF23" s="33" t="n">
        <f aca="false">AR23*12/52</f>
        <v>4.18062449139922</v>
      </c>
      <c r="BG23" s="31" t="n">
        <f aca="false">IF(AX23&gt;0,A23,999)</f>
        <v>19</v>
      </c>
      <c r="BH23" s="31" t="n">
        <f aca="false">IF(BB23&gt;=3,A23,999)</f>
        <v>999</v>
      </c>
      <c r="BI23" s="31" t="n">
        <f aca="false">IF(BD23&gt;=3,A23,999)</f>
        <v>999</v>
      </c>
    </row>
    <row r="24" customFormat="false" ht="15" hidden="false" customHeight="false" outlineLevel="0" collapsed="false">
      <c r="A24" s="31" t="n">
        <v>20</v>
      </c>
      <c r="B24" s="32" t="n">
        <f aca="false">DATE(2026,10+A24,1)</f>
        <v>46905</v>
      </c>
      <c r="C24" s="31" t="n">
        <f aca="false">INT((A24-1)/12)+1</f>
        <v>2</v>
      </c>
      <c r="D24" s="31" t="n">
        <f aca="false">IF(C24=1,Assumptions!$D$7,IF(C24=2,Assumptions!$D$8,Assumptions!$D$9))</f>
        <v>20</v>
      </c>
      <c r="E24" s="31" t="n">
        <f aca="false">D24*Assumptions!$D$10</f>
        <v>420</v>
      </c>
      <c r="F24" s="33" t="n">
        <f aca="false">E24*Assumptions!$D$11</f>
        <v>33.6</v>
      </c>
      <c r="G24" s="34" t="n">
        <f aca="false">MIN(1,Assumptions!$D$13+(1-Assumptions!$D$13)*(A24-1)/Assumptions!$D$14)</f>
        <v>1</v>
      </c>
      <c r="H24" s="33" t="n">
        <f aca="false">F24*Assumptions!$D$12*G24</f>
        <v>4.032</v>
      </c>
      <c r="I24" s="33" t="n">
        <f aca="false">Assumptions!$D$15*(Q23+R23+T23+U23)</f>
        <v>0.383438947339231</v>
      </c>
      <c r="J24" s="33" t="n">
        <f aca="false">H24+I24</f>
        <v>4.41543894733923</v>
      </c>
      <c r="K24" s="33" t="n">
        <f aca="false">J24*Assumptions!$D$18</f>
        <v>0</v>
      </c>
      <c r="L24" s="33" t="n">
        <f aca="false">(J24-K24)*Assumptions!$D$17</f>
        <v>3.09080726313746</v>
      </c>
      <c r="M24" s="33" t="n">
        <f aca="false">J24-K24-L24</f>
        <v>1.32463168420177</v>
      </c>
      <c r="N24" s="33" t="n">
        <f aca="false">L24*Assumptions!$D$19</f>
        <v>0.309080726313746</v>
      </c>
      <c r="O24" s="33" t="n">
        <f aca="false">L24-N24</f>
        <v>2.78172653682372</v>
      </c>
      <c r="P24" s="33" t="n">
        <f aca="false">O12*(1-Assumptions!$D$20)^12</f>
        <v>1.75137510398834</v>
      </c>
      <c r="Q24" s="33" t="n">
        <f aca="false">Q23*(1-Assumptions!$D$20)+O24-P24</f>
        <v>28.4048078955713</v>
      </c>
      <c r="R24" s="33" t="n">
        <f aca="false">R23*(1-Assumptions!$D$22)+P24*(1-Assumptions!$D$21)</f>
        <v>7.78279850514095</v>
      </c>
      <c r="S24" s="33" t="n">
        <f aca="false">Q24+R24</f>
        <v>36.1876064007122</v>
      </c>
      <c r="T24" s="33" t="n">
        <f aca="false">T23*(1-Assumptions!$D$24)+M24*Assumptions!$D$23</f>
        <v>4.2935694956749</v>
      </c>
      <c r="U24" s="33" t="n">
        <f aca="false">U23*(1-Assumptions!$D$25)+K24</f>
        <v>0</v>
      </c>
      <c r="V24" s="33" t="n">
        <f aca="false">V23+M24</f>
        <v>20.0183468609803</v>
      </c>
      <c r="W24" s="33" t="n">
        <f aca="false">N24+Q23*Assumptions!$D$20+P24*Assumptions!$D$21+R23*Assumptions!$D$22+T23*Assumptions!$D$24+U23*Assumptions!$D$25</f>
        <v>1.35091560593404</v>
      </c>
      <c r="X24" s="33" t="n">
        <f aca="false">IF(A24&lt;Assumptions!$D$34,0,Assumptions!$D$36*MIN(1,(A24-Assumptions!$D$34+1)/Assumptions!$D$35))*(S24+T24)</f>
        <v>8.09623517927742</v>
      </c>
      <c r="Y24" s="31" t="n">
        <f aca="false">IF(Y23&gt;0,Y23,IF(AND(A24&gt;=Assumptions!$D$41,Q23+R23+T23&gt;=Assumptions!$D$40),A24,0))</f>
        <v>13</v>
      </c>
      <c r="Z24" s="33" t="n">
        <f aca="false">IF(Y24&gt;0,Assumptions!$D$42*MIN(1,(A24-Y24+1)/Assumptions!$D$43),0)*(S24+T24)</f>
        <v>8.09623517927742</v>
      </c>
      <c r="AA24" s="35" t="n">
        <f aca="false">(1+Assumptions!$D$32)^(C24-1)</f>
        <v>1.03</v>
      </c>
      <c r="AB24" s="36" t="n">
        <f aca="false">O24*Assumptions!$D$27*AA24</f>
        <v>283.652654959914</v>
      </c>
      <c r="AC24" s="36" t="n">
        <f aca="false">(Q23+R23)*Assumptions!$D$28*AA24</f>
        <v>3493.91283751285</v>
      </c>
      <c r="AD24" s="36" t="n">
        <f aca="false">M24*Assumptions!$D$29*AA24</f>
        <v>680.820946729183</v>
      </c>
      <c r="AE24" s="36" t="n">
        <f aca="false">T23*Assumptions!$D$30*AA24</f>
        <v>331.970854261798</v>
      </c>
      <c r="AF24" s="36" t="n">
        <f aca="false">U23*Assumptions!$D$31*AA24</f>
        <v>0</v>
      </c>
      <c r="AG24" s="36" t="n">
        <f aca="false">X24*Assumptions!$D$37*Assumptions!$D$38</f>
        <v>566.736462549419</v>
      </c>
      <c r="AH24" s="36" t="n">
        <f aca="false">Z24*Assumptions!$D$44*Assumptions!$D$45</f>
        <v>242.887055378323</v>
      </c>
      <c r="AI24" s="36" t="n">
        <f aca="false">SUM(AB24:AH24)</f>
        <v>5599.98081139149</v>
      </c>
      <c r="AJ24" s="36" t="n">
        <f aca="false">(S24*Assumptions!$D$28+T24*Assumptions!$D$30+U24*Assumptions!$D$31)*AA24+AG24+AH24</f>
        <v>4849.04149247143</v>
      </c>
      <c r="AK24" s="36" t="n">
        <f aca="false">(AI24-AH24)*Assumptions!$D$49</f>
        <v>203.5695627285</v>
      </c>
      <c r="AL24" s="36" t="n">
        <f aca="false">(AC24+AE24+AF24)*Assumptions!$D$50</f>
        <v>26.7811858424226</v>
      </c>
      <c r="AM24" s="36" t="n">
        <f aca="false">S24*Assumptions!$D$51+M24*Assumptions!$D$52</f>
        <v>65.1039832639168</v>
      </c>
      <c r="AN24" s="36" t="n">
        <f aca="false">Assumptions!$D$53+Assumptions!$D$54*(S24+T24+U24)</f>
        <v>271.443527689161</v>
      </c>
      <c r="AO24" s="36" t="n">
        <f aca="false">IF(C24&gt;=2,Assumptions!$D$55,0)</f>
        <v>100</v>
      </c>
      <c r="AP24" s="33" t="n">
        <f aca="false">E24*Assumptions!$D$60/60+F24*Assumptions!$D$61+J24*Assumptions!$D$62+(S24+T24)*Assumptions!$D$63+X24*Assumptions!$D$64+Z24*Assumptions!$D$65+U24*Assumptions!$D$66+Assumptions!$D$67*52/12</f>
        <v>130.472935713356</v>
      </c>
      <c r="AQ24" s="33" t="n">
        <f aca="false">IF(BC23=1,Assumptions!$D$69,Assumptions!$D$68)*52/12</f>
        <v>108.333333333333</v>
      </c>
      <c r="AR24" s="33" t="n">
        <f aca="false">MAX(0,AP24-AQ24)</f>
        <v>22.1396023800225</v>
      </c>
      <c r="AS24" s="36" t="n">
        <f aca="false">AR24*Assumptions!$D$70*Assumptions!$D$71</f>
        <v>249.070526775254</v>
      </c>
      <c r="AT24" s="36" t="n">
        <f aca="false">Assumptions!$D$56/12</f>
        <v>75</v>
      </c>
      <c r="AU24" s="36" t="n">
        <f aca="false">IF(A24=1,Assumptions!$D$57,0)+Assumptions!$D$58</f>
        <v>45</v>
      </c>
      <c r="AV24" s="36" t="n">
        <f aca="false">IF(AND(Y24&gt;0,Y24=A24),Assumptions!$D$46,0)+IF(Y24&gt;0,Assumptions!$D$47,0)</f>
        <v>50</v>
      </c>
      <c r="AW24" s="36" t="n">
        <f aca="false">AK24+AL24+AM24+AN24+AO24+AS24+AT24+AU24+AV24</f>
        <v>1085.96878629925</v>
      </c>
      <c r="AX24" s="36" t="n">
        <f aca="false">AI24-AW24</f>
        <v>4514.01202509224</v>
      </c>
      <c r="AY24" s="36" t="n">
        <f aca="false">MAX(0,AX24)*Assumptions!$D$73</f>
        <v>1263.92336702583</v>
      </c>
      <c r="AZ24" s="36" t="n">
        <f aca="false">AX24-AY24</f>
        <v>3250.08865806641</v>
      </c>
      <c r="BA24" s="36" t="n">
        <f aca="false">BA23+AZ24</f>
        <v>28548.3909543709</v>
      </c>
      <c r="BB24" s="31" t="n">
        <f aca="false">IF(AZ24&gt;=Assumptions!$D$74/12,BB23+1,0)</f>
        <v>0</v>
      </c>
      <c r="BC24" s="31" t="n">
        <f aca="false">IF(OR(BC23=1,BB24&gt;=3),1,0)</f>
        <v>0</v>
      </c>
      <c r="BD24" s="31" t="n">
        <f aca="false">IF(AZ24&gt;=Assumptions!$D$75/12,BD23+1,0)</f>
        <v>0</v>
      </c>
      <c r="BE24" s="33" t="n">
        <f aca="false">AP24*12/52</f>
        <v>30.1091390107744</v>
      </c>
      <c r="BF24" s="33" t="n">
        <f aca="false">AR24*12/52</f>
        <v>5.10913901077443</v>
      </c>
      <c r="BG24" s="31" t="n">
        <f aca="false">IF(AX24&gt;0,A24,999)</f>
        <v>20</v>
      </c>
      <c r="BH24" s="31" t="n">
        <f aca="false">IF(BB24&gt;=3,A24,999)</f>
        <v>999</v>
      </c>
      <c r="BI24" s="31" t="n">
        <f aca="false">IF(BD24&gt;=3,A24,999)</f>
        <v>999</v>
      </c>
    </row>
    <row r="25" customFormat="false" ht="15" hidden="false" customHeight="false" outlineLevel="0" collapsed="false">
      <c r="A25" s="31" t="n">
        <v>21</v>
      </c>
      <c r="B25" s="32" t="n">
        <f aca="false">DATE(2026,10+A25,1)</f>
        <v>46935</v>
      </c>
      <c r="C25" s="31" t="n">
        <f aca="false">INT((A25-1)/12)+1</f>
        <v>2</v>
      </c>
      <c r="D25" s="31" t="n">
        <f aca="false">IF(C25=1,Assumptions!$D$7,IF(C25=2,Assumptions!$D$8,Assumptions!$D$9))</f>
        <v>20</v>
      </c>
      <c r="E25" s="31" t="n">
        <f aca="false">D25*Assumptions!$D$10</f>
        <v>420</v>
      </c>
      <c r="F25" s="33" t="n">
        <f aca="false">E25*Assumptions!$D$11</f>
        <v>33.6</v>
      </c>
      <c r="G25" s="34" t="n">
        <f aca="false">MIN(1,Assumptions!$D$13+(1-Assumptions!$D$13)*(A25-1)/Assumptions!$D$14)</f>
        <v>1</v>
      </c>
      <c r="H25" s="33" t="n">
        <f aca="false">F25*Assumptions!$D$12*G25</f>
        <v>4.032</v>
      </c>
      <c r="I25" s="33" t="n">
        <f aca="false">Assumptions!$D$15*(Q24+R24+T24+U24)</f>
        <v>0.404811758963871</v>
      </c>
      <c r="J25" s="33" t="n">
        <f aca="false">H25+I25</f>
        <v>4.43681175896387</v>
      </c>
      <c r="K25" s="33" t="n">
        <f aca="false">J25*Assumptions!$D$18</f>
        <v>0</v>
      </c>
      <c r="L25" s="33" t="n">
        <f aca="false">(J25-K25)*Assumptions!$D$17</f>
        <v>3.10576823127471</v>
      </c>
      <c r="M25" s="33" t="n">
        <f aca="false">J25-K25-L25</f>
        <v>1.33104352768916</v>
      </c>
      <c r="N25" s="33" t="n">
        <f aca="false">L25*Assumptions!$D$19</f>
        <v>0.310576823127471</v>
      </c>
      <c r="O25" s="33" t="n">
        <f aca="false">L25-N25</f>
        <v>2.79519140814724</v>
      </c>
      <c r="P25" s="33" t="n">
        <f aca="false">O13*(1-Assumptions!$D$20)^12</f>
        <v>1.7631039438474</v>
      </c>
      <c r="Q25" s="33" t="n">
        <f aca="false">Q24*(1-Assumptions!$D$20)+O25-P25</f>
        <v>29.1528472809154</v>
      </c>
      <c r="R25" s="33" t="n">
        <f aca="false">R24*(1-Assumptions!$D$22)+P25*(1-Assumptions!$D$21)</f>
        <v>8.92088371253894</v>
      </c>
      <c r="S25" s="33" t="n">
        <f aca="false">Q25+R25</f>
        <v>38.0737309934543</v>
      </c>
      <c r="T25" s="33" t="n">
        <f aca="false">T24*(1-Assumptions!$D$24)+M25*Assumptions!$D$23</f>
        <v>4.49967192667628</v>
      </c>
      <c r="U25" s="33" t="n">
        <f aca="false">U24*(1-Assumptions!$D$25)+K25</f>
        <v>0</v>
      </c>
      <c r="V25" s="33" t="n">
        <f aca="false">V24+M25</f>
        <v>21.3493903886695</v>
      </c>
      <c r="W25" s="33" t="n">
        <f aca="false">N25+Q24*Assumptions!$D$20+P25*Assumptions!$D$21+R24*Assumptions!$D$22+T24*Assumptions!$D$24+U24*Assumptions!$D$25</f>
        <v>1.41285426583797</v>
      </c>
      <c r="X25" s="33" t="n">
        <f aca="false">IF(A25&lt;Assumptions!$D$34,0,Assumptions!$D$36*MIN(1,(A25-Assumptions!$D$34+1)/Assumptions!$D$35))*(S25+T25)</f>
        <v>8.51468058402612</v>
      </c>
      <c r="Y25" s="31" t="n">
        <f aca="false">IF(Y24&gt;0,Y24,IF(AND(A25&gt;=Assumptions!$D$41,Q24+R24+T24&gt;=Assumptions!$D$40),A25,0))</f>
        <v>13</v>
      </c>
      <c r="Z25" s="33" t="n">
        <f aca="false">IF(Y25&gt;0,Assumptions!$D$42*MIN(1,(A25-Y25+1)/Assumptions!$D$43),0)*(S25+T25)</f>
        <v>9.57901565702938</v>
      </c>
      <c r="AA25" s="35" t="n">
        <f aca="false">(1+Assumptions!$D$32)^(C25-1)</f>
        <v>1.03</v>
      </c>
      <c r="AB25" s="36" t="n">
        <f aca="false">O25*Assumptions!$D$27*AA25</f>
        <v>285.025667888774</v>
      </c>
      <c r="AC25" s="36" t="n">
        <f aca="false">(Q24+R24)*Assumptions!$D$28*AA25</f>
        <v>3690.05022468062</v>
      </c>
      <c r="AD25" s="36" t="n">
        <f aca="false">M25*Assumptions!$D$29*AA25</f>
        <v>684.116441926398</v>
      </c>
      <c r="AE25" s="36" t="n">
        <f aca="false">T24*Assumptions!$D$30*AA25</f>
        <v>349.367749863067</v>
      </c>
      <c r="AF25" s="36" t="n">
        <f aca="false">U24*Assumptions!$D$31*AA25</f>
        <v>0</v>
      </c>
      <c r="AG25" s="36" t="n">
        <f aca="false">X25*Assumptions!$D$37*Assumptions!$D$38</f>
        <v>596.027640881828</v>
      </c>
      <c r="AH25" s="36" t="n">
        <f aca="false">Z25*Assumptions!$D$44*Assumptions!$D$45</f>
        <v>287.370469710882</v>
      </c>
      <c r="AI25" s="36" t="n">
        <f aca="false">SUM(AB25:AH25)</f>
        <v>5891.95819495157</v>
      </c>
      <c r="AJ25" s="36" t="n">
        <f aca="false">(S25*Assumptions!$D$28+T25*Assumptions!$D$30+U25*Assumptions!$D$31)*AA25+AG25+AH25</f>
        <v>5131.9147646689</v>
      </c>
      <c r="AK25" s="36" t="n">
        <f aca="false">(AI25-AH25)*Assumptions!$D$49</f>
        <v>212.974333559146</v>
      </c>
      <c r="AL25" s="36" t="n">
        <f aca="false">(AC25+AE25+AF25)*Assumptions!$D$50</f>
        <v>28.2759258218058</v>
      </c>
      <c r="AM25" s="36" t="n">
        <f aca="false">S25*Assumptions!$D$51+M25*Assumptions!$D$52</f>
        <v>67.5578166571553</v>
      </c>
      <c r="AN25" s="36" t="n">
        <f aca="false">Assumptions!$D$53+Assumptions!$D$54*(S25+T25+U25)</f>
        <v>277.720208760392</v>
      </c>
      <c r="AO25" s="36" t="n">
        <f aca="false">IF(C25&gt;=2,Assumptions!$D$55,0)</f>
        <v>100</v>
      </c>
      <c r="AP25" s="33" t="n">
        <f aca="false">E25*Assumptions!$D$60/60+F25*Assumptions!$D$61+J25*Assumptions!$D$62+(S25+T25)*Assumptions!$D$63+X25*Assumptions!$D$64+Z25*Assumptions!$D$65+U25*Assumptions!$D$66+Assumptions!$D$67*52/12</f>
        <v>134.443162396407</v>
      </c>
      <c r="AQ25" s="33" t="n">
        <f aca="false">IF(BC24=1,Assumptions!$D$69,Assumptions!$D$68)*52/12</f>
        <v>108.333333333333</v>
      </c>
      <c r="AR25" s="33" t="n">
        <f aca="false">MAX(0,AP25-AQ25)</f>
        <v>26.1098290630738</v>
      </c>
      <c r="AS25" s="36" t="n">
        <f aca="false">AR25*Assumptions!$D$70*Assumptions!$D$71</f>
        <v>293.73557695958</v>
      </c>
      <c r="AT25" s="36" t="n">
        <f aca="false">Assumptions!$D$56/12</f>
        <v>75</v>
      </c>
      <c r="AU25" s="36" t="n">
        <f aca="false">IF(A25=1,Assumptions!$D$57,0)+Assumptions!$D$58</f>
        <v>45</v>
      </c>
      <c r="AV25" s="36" t="n">
        <f aca="false">IF(AND(Y25&gt;0,Y25=A25),Assumptions!$D$46,0)+IF(Y25&gt;0,Assumptions!$D$47,0)</f>
        <v>50</v>
      </c>
      <c r="AW25" s="36" t="n">
        <f aca="false">AK25+AL25+AM25+AN25+AO25+AS25+AT25+AU25+AV25</f>
        <v>1150.26386175808</v>
      </c>
      <c r="AX25" s="36" t="n">
        <f aca="false">AI25-AW25</f>
        <v>4741.69433319349</v>
      </c>
      <c r="AY25" s="36" t="n">
        <f aca="false">MAX(0,AX25)*Assumptions!$D$73</f>
        <v>1327.67441329418</v>
      </c>
      <c r="AZ25" s="36" t="n">
        <f aca="false">AX25-AY25</f>
        <v>3414.01991989931</v>
      </c>
      <c r="BA25" s="36" t="n">
        <f aca="false">BA24+AZ25</f>
        <v>31962.4108742702</v>
      </c>
      <c r="BB25" s="31" t="n">
        <f aca="false">IF(AZ25&gt;=Assumptions!$D$74/12,BB24+1,0)</f>
        <v>0</v>
      </c>
      <c r="BC25" s="31" t="n">
        <f aca="false">IF(OR(BC24=1,BB25&gt;=3),1,0)</f>
        <v>0</v>
      </c>
      <c r="BD25" s="31" t="n">
        <f aca="false">IF(AZ25&gt;=Assumptions!$D$75/12,BD24+1,0)</f>
        <v>0</v>
      </c>
      <c r="BE25" s="33" t="n">
        <f aca="false">AP25*12/52</f>
        <v>31.0253451684016</v>
      </c>
      <c r="BF25" s="33" t="n">
        <f aca="false">AR25*12/52</f>
        <v>6.02534516840164</v>
      </c>
      <c r="BG25" s="31" t="n">
        <f aca="false">IF(AX25&gt;0,A25,999)</f>
        <v>21</v>
      </c>
      <c r="BH25" s="31" t="n">
        <f aca="false">IF(BB25&gt;=3,A25,999)</f>
        <v>999</v>
      </c>
      <c r="BI25" s="31" t="n">
        <f aca="false">IF(BD25&gt;=3,A25,999)</f>
        <v>999</v>
      </c>
    </row>
    <row r="26" customFormat="false" ht="15" hidden="false" customHeight="false" outlineLevel="0" collapsed="false">
      <c r="A26" s="31" t="n">
        <v>22</v>
      </c>
      <c r="B26" s="32" t="n">
        <f aca="false">DATE(2026,10+A26,1)</f>
        <v>46966</v>
      </c>
      <c r="C26" s="31" t="n">
        <f aca="false">INT((A26-1)/12)+1</f>
        <v>2</v>
      </c>
      <c r="D26" s="31" t="n">
        <f aca="false">IF(C26=1,Assumptions!$D$7,IF(C26=2,Assumptions!$D$8,Assumptions!$D$9))</f>
        <v>20</v>
      </c>
      <c r="E26" s="31" t="n">
        <f aca="false">D26*Assumptions!$D$10</f>
        <v>420</v>
      </c>
      <c r="F26" s="33" t="n">
        <f aca="false">E26*Assumptions!$D$11</f>
        <v>33.6</v>
      </c>
      <c r="G26" s="34" t="n">
        <f aca="false">MIN(1,Assumptions!$D$13+(1-Assumptions!$D$13)*(A26-1)/Assumptions!$D$14)</f>
        <v>1</v>
      </c>
      <c r="H26" s="33" t="n">
        <f aca="false">F26*Assumptions!$D$12*G26</f>
        <v>4.032</v>
      </c>
      <c r="I26" s="33" t="n">
        <f aca="false">Assumptions!$D$15*(Q25+R25+T25+U25)</f>
        <v>0.425734029201306</v>
      </c>
      <c r="J26" s="33" t="n">
        <f aca="false">H26+I26</f>
        <v>4.45773402920131</v>
      </c>
      <c r="K26" s="33" t="n">
        <f aca="false">J26*Assumptions!$D$18</f>
        <v>0</v>
      </c>
      <c r="L26" s="33" t="n">
        <f aca="false">(J26-K26)*Assumptions!$D$17</f>
        <v>3.12041382044091</v>
      </c>
      <c r="M26" s="33" t="n">
        <f aca="false">J26-K26-L26</f>
        <v>1.33732020876039</v>
      </c>
      <c r="N26" s="33" t="n">
        <f aca="false">L26*Assumptions!$D$19</f>
        <v>0.312041382044091</v>
      </c>
      <c r="O26" s="33" t="n">
        <f aca="false">L26-N26</f>
        <v>2.80837243839682</v>
      </c>
      <c r="P26" s="33" t="n">
        <f aca="false">O14*(1-Assumptions!$D$20)^12</f>
        <v>1.77475620487838</v>
      </c>
      <c r="Q26" s="33" t="n">
        <f aca="false">Q25*(1-Assumptions!$D$20)+O26-P26</f>
        <v>29.8949350416247</v>
      </c>
      <c r="R26" s="33" t="n">
        <f aca="false">R25*(1-Assumptions!$D$22)+P26*(1-Assumptions!$D$21)</f>
        <v>10.0284577465028</v>
      </c>
      <c r="S26" s="33" t="n">
        <f aca="false">Q26+R26</f>
        <v>39.9233927881274</v>
      </c>
      <c r="T26" s="33" t="n">
        <f aca="false">T25*(1-Assumptions!$D$24)+M26*Assumptions!$D$23</f>
        <v>4.69838275260396</v>
      </c>
      <c r="U26" s="33" t="n">
        <f aca="false">U25*(1-Assumptions!$D$25)+K26</f>
        <v>0</v>
      </c>
      <c r="V26" s="33" t="n">
        <f aca="false">V25+M26</f>
        <v>22.6867105974298</v>
      </c>
      <c r="W26" s="33" t="n">
        <f aca="false">N26+Q25*Assumptions!$D$20+P26*Assumptions!$D$21+R25*Assumptions!$D$22+T25*Assumptions!$D$24+U25*Assumptions!$D$25</f>
        <v>1.47323726246822</v>
      </c>
      <c r="X26" s="33" t="n">
        <f aca="false">IF(A26&lt;Assumptions!$D$34,0,Assumptions!$D$36*MIN(1,(A26-Assumptions!$D$34+1)/Assumptions!$D$35))*(S26+T26)</f>
        <v>8.92435510814628</v>
      </c>
      <c r="Y26" s="31" t="n">
        <f aca="false">IF(Y25&gt;0,Y25,IF(AND(A26&gt;=Assumptions!$D$41,Q25+R25+T25&gt;=Assumptions!$D$40),A26,0))</f>
        <v>13</v>
      </c>
      <c r="Z26" s="33" t="n">
        <f aca="false">IF(Y26&gt;0,Assumptions!$D$42*MIN(1,(A26-Y26+1)/Assumptions!$D$43),0)*(S26+T26)</f>
        <v>11.1554438851829</v>
      </c>
      <c r="AA26" s="35" t="n">
        <f aca="false">(1+Assumptions!$D$32)^(C26-1)</f>
        <v>1.03</v>
      </c>
      <c r="AB26" s="36" t="n">
        <f aca="false">O26*Assumptions!$D$27*AA26</f>
        <v>286.369737543324</v>
      </c>
      <c r="AC26" s="36" t="n">
        <f aca="false">(Q25+R25)*Assumptions!$D$28*AA26</f>
        <v>3882.37834940254</v>
      </c>
      <c r="AD26" s="36" t="n">
        <f aca="false">M26*Assumptions!$D$29*AA26</f>
        <v>687.342467696579</v>
      </c>
      <c r="AE26" s="36" t="n">
        <f aca="false">T25*Assumptions!$D$30*AA26</f>
        <v>366.138304673649</v>
      </c>
      <c r="AF26" s="36" t="n">
        <f aca="false">U25*Assumptions!$D$31*AA26</f>
        <v>0</v>
      </c>
      <c r="AG26" s="36" t="n">
        <f aca="false">X26*Assumptions!$D$37*Assumptions!$D$38</f>
        <v>624.70485757024</v>
      </c>
      <c r="AH26" s="36" t="n">
        <f aca="false">Z26*Assumptions!$D$44*Assumptions!$D$45</f>
        <v>334.663316555486</v>
      </c>
      <c r="AI26" s="36" t="n">
        <f aca="false">SUM(AB26:AH26)</f>
        <v>6181.59703344181</v>
      </c>
      <c r="AJ26" s="36" t="n">
        <f aca="false">(S26*Assumptions!$D$28+T26*Assumptions!$D$30+U26*Assumptions!$D$31)*AA26+AG26+AH26</f>
        <v>5412.66394131047</v>
      </c>
      <c r="AK26" s="36" t="n">
        <f aca="false">(AI26-AH26)*Assumptions!$D$49</f>
        <v>222.18348124168</v>
      </c>
      <c r="AL26" s="36" t="n">
        <f aca="false">(AC26+AE26+AF26)*Assumptions!$D$50</f>
        <v>29.7396165785333</v>
      </c>
      <c r="AM26" s="36" t="n">
        <f aca="false">S26*Assumptions!$D$51+M26*Assumptions!$D$52</f>
        <v>69.9640441165652</v>
      </c>
      <c r="AN26" s="36" t="n">
        <f aca="false">Assumptions!$D$53+Assumptions!$D$54*(S26+T26+U26)</f>
        <v>283.865326622194</v>
      </c>
      <c r="AO26" s="36" t="n">
        <f aca="false">IF(C26&gt;=2,Assumptions!$D$55,0)</f>
        <v>100</v>
      </c>
      <c r="AP26" s="33" t="n">
        <f aca="false">E26*Assumptions!$D$60/60+F26*Assumptions!$D$61+J26*Assumptions!$D$62+(S26+T26)*Assumptions!$D$63+X26*Assumptions!$D$64+Z26*Assumptions!$D$65+U26*Assumptions!$D$66+Assumptions!$D$67*52/12</f>
        <v>138.361347448942</v>
      </c>
      <c r="AQ26" s="33" t="n">
        <f aca="false">IF(BC25=1,Assumptions!$D$69,Assumptions!$D$68)*52/12</f>
        <v>108.333333333333</v>
      </c>
      <c r="AR26" s="33" t="n">
        <f aca="false">MAX(0,AP26-AQ26)</f>
        <v>30.0280141156084</v>
      </c>
      <c r="AS26" s="36" t="n">
        <f aca="false">AR26*Assumptions!$D$70*Assumptions!$D$71</f>
        <v>337.815158800595</v>
      </c>
      <c r="AT26" s="36" t="n">
        <f aca="false">Assumptions!$D$56/12</f>
        <v>75</v>
      </c>
      <c r="AU26" s="36" t="n">
        <f aca="false">IF(A26=1,Assumptions!$D$57,0)+Assumptions!$D$58</f>
        <v>45</v>
      </c>
      <c r="AV26" s="36" t="n">
        <f aca="false">IF(AND(Y26&gt;0,Y26=A26),Assumptions!$D$46,0)+IF(Y26&gt;0,Assumptions!$D$47,0)</f>
        <v>50</v>
      </c>
      <c r="AW26" s="36" t="n">
        <f aca="false">AK26+AL26+AM26+AN26+AO26+AS26+AT26+AU26+AV26</f>
        <v>1213.56762735957</v>
      </c>
      <c r="AX26" s="36" t="n">
        <f aca="false">AI26-AW26</f>
        <v>4968.02940608225</v>
      </c>
      <c r="AY26" s="36" t="n">
        <f aca="false">MAX(0,AX26)*Assumptions!$D$73</f>
        <v>1391.04823370303</v>
      </c>
      <c r="AZ26" s="36" t="n">
        <f aca="false">AX26-AY26</f>
        <v>3576.98117237922</v>
      </c>
      <c r="BA26" s="36" t="n">
        <f aca="false">BA25+AZ26</f>
        <v>35539.3920466494</v>
      </c>
      <c r="BB26" s="31" t="n">
        <f aca="false">IF(AZ26&gt;=Assumptions!$D$74/12,BB25+1,0)</f>
        <v>0</v>
      </c>
      <c r="BC26" s="31" t="n">
        <f aca="false">IF(OR(BC25=1,BB26&gt;=3),1,0)</f>
        <v>0</v>
      </c>
      <c r="BD26" s="31" t="n">
        <f aca="false">IF(AZ26&gt;=Assumptions!$D$75/12,BD25+1,0)</f>
        <v>0</v>
      </c>
      <c r="BE26" s="33" t="n">
        <f aca="false">AP26*12/52</f>
        <v>31.9295417189866</v>
      </c>
      <c r="BF26" s="33" t="n">
        <f aca="false">AR26*12/52</f>
        <v>6.92954171898655</v>
      </c>
      <c r="BG26" s="31" t="n">
        <f aca="false">IF(AX26&gt;0,A26,999)</f>
        <v>22</v>
      </c>
      <c r="BH26" s="31" t="n">
        <f aca="false">IF(BB26&gt;=3,A26,999)</f>
        <v>999</v>
      </c>
      <c r="BI26" s="31" t="n">
        <f aca="false">IF(BD26&gt;=3,A26,999)</f>
        <v>999</v>
      </c>
    </row>
    <row r="27" customFormat="false" ht="15" hidden="false" customHeight="false" outlineLevel="0" collapsed="false">
      <c r="A27" s="31" t="n">
        <v>23</v>
      </c>
      <c r="B27" s="32" t="n">
        <f aca="false">DATE(2026,10+A27,1)</f>
        <v>46997</v>
      </c>
      <c r="C27" s="31" t="n">
        <f aca="false">INT((A27-1)/12)+1</f>
        <v>2</v>
      </c>
      <c r="D27" s="31" t="n">
        <f aca="false">IF(C27=1,Assumptions!$D$7,IF(C27=2,Assumptions!$D$8,Assumptions!$D$9))</f>
        <v>20</v>
      </c>
      <c r="E27" s="31" t="n">
        <f aca="false">D27*Assumptions!$D$10</f>
        <v>420</v>
      </c>
      <c r="F27" s="33" t="n">
        <f aca="false">E27*Assumptions!$D$11</f>
        <v>33.6</v>
      </c>
      <c r="G27" s="34" t="n">
        <f aca="false">MIN(1,Assumptions!$D$13+(1-Assumptions!$D$13)*(A27-1)/Assumptions!$D$14)</f>
        <v>1</v>
      </c>
      <c r="H27" s="33" t="n">
        <f aca="false">F27*Assumptions!$D$12*G27</f>
        <v>4.032</v>
      </c>
      <c r="I27" s="33" t="n">
        <f aca="false">Assumptions!$D$15*(Q26+R26+T26+U26)</f>
        <v>0.446217755407314</v>
      </c>
      <c r="J27" s="33" t="n">
        <f aca="false">H27+I27</f>
        <v>4.47821775540731</v>
      </c>
      <c r="K27" s="33" t="n">
        <f aca="false">J27*Assumptions!$D$18</f>
        <v>0</v>
      </c>
      <c r="L27" s="33" t="n">
        <f aca="false">(J27-K27)*Assumptions!$D$17</f>
        <v>3.13475242878512</v>
      </c>
      <c r="M27" s="33" t="n">
        <f aca="false">J27-K27-L27</f>
        <v>1.34346532662219</v>
      </c>
      <c r="N27" s="33" t="n">
        <f aca="false">L27*Assumptions!$D$19</f>
        <v>0.313475242878512</v>
      </c>
      <c r="O27" s="33" t="n">
        <f aca="false">L27-N27</f>
        <v>2.82127718590661</v>
      </c>
      <c r="P27" s="33" t="n">
        <f aca="false">O15*(1-Assumptions!$D$20)^12</f>
        <v>1.78633370025699</v>
      </c>
      <c r="Q27" s="33" t="n">
        <f aca="false">Q26*(1-Assumptions!$D$20)+O27-P27</f>
        <v>30.630929176858</v>
      </c>
      <c r="R27" s="33" t="n">
        <f aca="false">R26*(1-Assumptions!$D$22)+P27*(1-Assumptions!$D$21)</f>
        <v>11.1065286855808</v>
      </c>
      <c r="S27" s="33" t="n">
        <f aca="false">Q27+R27</f>
        <v>41.7374578624388</v>
      </c>
      <c r="T27" s="33" t="n">
        <f aca="false">T26*(1-Assumptions!$D$24)+M27*Assumptions!$D$23</f>
        <v>4.88999512672344</v>
      </c>
      <c r="U27" s="33" t="n">
        <f aca="false">U26*(1-Assumptions!$D$25)+K27</f>
        <v>0</v>
      </c>
      <c r="V27" s="33" t="n">
        <f aca="false">V26+M27</f>
        <v>24.030175924052</v>
      </c>
      <c r="W27" s="33" t="n">
        <f aca="false">N27+Q26*Assumptions!$D$20+P27*Assumptions!$D$21+R26*Assumptions!$D$22+T26*Assumptions!$D$24+U26*Assumptions!$D$25</f>
        <v>1.53211457834093</v>
      </c>
      <c r="X27" s="33" t="n">
        <f aca="false">IF(A27&lt;Assumptions!$D$34,0,Assumptions!$D$36*MIN(1,(A27-Assumptions!$D$34+1)/Assumptions!$D$35))*(S27+T27)</f>
        <v>9.32549059783245</v>
      </c>
      <c r="Y27" s="31" t="n">
        <f aca="false">IF(Y26&gt;0,Y26,IF(AND(A27&gt;=Assumptions!$D$41,Q26+R26+T26&gt;=Assumptions!$D$40),A27,0))</f>
        <v>13</v>
      </c>
      <c r="Z27" s="33" t="n">
        <f aca="false">IF(Y27&gt;0,Assumptions!$D$42*MIN(1,(A27-Y27+1)/Assumptions!$D$43),0)*(S27+T27)</f>
        <v>12.8225495720196</v>
      </c>
      <c r="AA27" s="35" t="n">
        <f aca="false">(1+Assumptions!$D$32)^(C27-1)</f>
        <v>1.03</v>
      </c>
      <c r="AB27" s="36" t="n">
        <f aca="false">O27*Assumptions!$D$27*AA27</f>
        <v>287.685634646897</v>
      </c>
      <c r="AC27" s="36" t="n">
        <f aca="false">(Q26+R26)*Assumptions!$D$28*AA27</f>
        <v>4070.98836260536</v>
      </c>
      <c r="AD27" s="36" t="n">
        <f aca="false">M27*Assumptions!$D$29*AA27</f>
        <v>690.500873924009</v>
      </c>
      <c r="AE27" s="36" t="n">
        <f aca="false">T26*Assumptions!$D$30*AA27</f>
        <v>382.307404579384</v>
      </c>
      <c r="AF27" s="36" t="n">
        <f aca="false">U26*Assumptions!$D$31*AA27</f>
        <v>0</v>
      </c>
      <c r="AG27" s="36" t="n">
        <f aca="false">X27*Assumptions!$D$37*Assumptions!$D$38</f>
        <v>652.784341848271</v>
      </c>
      <c r="AH27" s="36" t="n">
        <f aca="false">Z27*Assumptions!$D$44*Assumptions!$D$45</f>
        <v>384.676487160589</v>
      </c>
      <c r="AI27" s="36" t="n">
        <f aca="false">SUM(AB27:AH27)</f>
        <v>6468.94310476451</v>
      </c>
      <c r="AJ27" s="36" t="n">
        <f aca="false">(S27*Assumptions!$D$28+T27*Assumptions!$D$30+U27*Assumptions!$D$31)*AA27+AG27+AH27</f>
        <v>5691.32831070323</v>
      </c>
      <c r="AK27" s="36" t="n">
        <f aca="false">(AI27-AH27)*Assumptions!$D$49</f>
        <v>231.202131468949</v>
      </c>
      <c r="AL27" s="36" t="n">
        <f aca="false">(AC27+AE27+AF27)*Assumptions!$D$50</f>
        <v>31.1730703702932</v>
      </c>
      <c r="AM27" s="36" t="n">
        <f aca="false">S27*Assumptions!$D$51+M27*Assumptions!$D$52</f>
        <v>72.3238022273814</v>
      </c>
      <c r="AN27" s="36" t="n">
        <f aca="false">Assumptions!$D$53+Assumptions!$D$54*(S27+T27+U27)</f>
        <v>289.882358967487</v>
      </c>
      <c r="AO27" s="36" t="n">
        <f aca="false">IF(C27&gt;=2,Assumptions!$D$55,0)</f>
        <v>100</v>
      </c>
      <c r="AP27" s="33" t="n">
        <f aca="false">E27*Assumptions!$D$60/60+F27*Assumptions!$D$61+J27*Assumptions!$D$62+(S27+T27)*Assumptions!$D$63+X27*Assumptions!$D$64+Z27*Assumptions!$D$65+U27*Assumptions!$D$66+Assumptions!$D$67*52/12</f>
        <v>142.228742985395</v>
      </c>
      <c r="AQ27" s="33" t="n">
        <f aca="false">IF(BC26=1,Assumptions!$D$69,Assumptions!$D$68)*52/12</f>
        <v>108.333333333333</v>
      </c>
      <c r="AR27" s="33" t="n">
        <f aca="false">MAX(0,AP27-AQ27)</f>
        <v>33.895409652062</v>
      </c>
      <c r="AS27" s="36" t="n">
        <f aca="false">AR27*Assumptions!$D$70*Assumptions!$D$71</f>
        <v>381.323358585698</v>
      </c>
      <c r="AT27" s="36" t="n">
        <f aca="false">Assumptions!$D$56/12</f>
        <v>75</v>
      </c>
      <c r="AU27" s="36" t="n">
        <f aca="false">IF(A27=1,Assumptions!$D$57,0)+Assumptions!$D$58</f>
        <v>45</v>
      </c>
      <c r="AV27" s="36" t="n">
        <f aca="false">IF(AND(Y27&gt;0,Y27=A27),Assumptions!$D$46,0)+IF(Y27&gt;0,Assumptions!$D$47,0)</f>
        <v>50</v>
      </c>
      <c r="AW27" s="36" t="n">
        <f aca="false">AK27+AL27+AM27+AN27+AO27+AS27+AT27+AU27+AV27</f>
        <v>1275.90472161981</v>
      </c>
      <c r="AX27" s="36" t="n">
        <f aca="false">AI27-AW27</f>
        <v>5193.0383831447</v>
      </c>
      <c r="AY27" s="36" t="n">
        <f aca="false">MAX(0,AX27)*Assumptions!$D$73</f>
        <v>1454.05074728052</v>
      </c>
      <c r="AZ27" s="36" t="n">
        <f aca="false">AX27-AY27</f>
        <v>3738.98763586418</v>
      </c>
      <c r="BA27" s="36" t="n">
        <f aca="false">BA26+AZ27</f>
        <v>39278.3796825136</v>
      </c>
      <c r="BB27" s="31" t="n">
        <f aca="false">IF(AZ27&gt;=Assumptions!$D$74/12,BB26+1,0)</f>
        <v>0</v>
      </c>
      <c r="BC27" s="31" t="n">
        <f aca="false">IF(OR(BC26=1,BB27&gt;=3),1,0)</f>
        <v>0</v>
      </c>
      <c r="BD27" s="31" t="n">
        <f aca="false">IF(AZ27&gt;=Assumptions!$D$75/12,BD26+1,0)</f>
        <v>0</v>
      </c>
      <c r="BE27" s="33" t="n">
        <f aca="false">AP27*12/52</f>
        <v>32.8220176120143</v>
      </c>
      <c r="BF27" s="33" t="n">
        <f aca="false">AR27*12/52</f>
        <v>7.82201761201432</v>
      </c>
      <c r="BG27" s="31" t="n">
        <f aca="false">IF(AX27&gt;0,A27,999)</f>
        <v>23</v>
      </c>
      <c r="BH27" s="31" t="n">
        <f aca="false">IF(BB27&gt;=3,A27,999)</f>
        <v>999</v>
      </c>
      <c r="BI27" s="31" t="n">
        <f aca="false">IF(BD27&gt;=3,A27,999)</f>
        <v>999</v>
      </c>
    </row>
    <row r="28" customFormat="false" ht="15" hidden="false" customHeight="false" outlineLevel="0" collapsed="false">
      <c r="A28" s="37" t="n">
        <v>24</v>
      </c>
      <c r="B28" s="38" t="n">
        <f aca="false">DATE(2026,10+A28,1)</f>
        <v>47027</v>
      </c>
      <c r="C28" s="37" t="n">
        <f aca="false">INT((A28-1)/12)+1</f>
        <v>2</v>
      </c>
      <c r="D28" s="37" t="n">
        <f aca="false">IF(C28=1,Assumptions!$D$7,IF(C28=2,Assumptions!$D$8,Assumptions!$D$9))</f>
        <v>20</v>
      </c>
      <c r="E28" s="37" t="n">
        <f aca="false">D28*Assumptions!$D$10</f>
        <v>420</v>
      </c>
      <c r="F28" s="39" t="n">
        <f aca="false">E28*Assumptions!$D$11</f>
        <v>33.6</v>
      </c>
      <c r="G28" s="40" t="n">
        <f aca="false">MIN(1,Assumptions!$D$13+(1-Assumptions!$D$13)*(A28-1)/Assumptions!$D$14)</f>
        <v>1</v>
      </c>
      <c r="H28" s="39" t="n">
        <f aca="false">F28*Assumptions!$D$12*G28</f>
        <v>4.032</v>
      </c>
      <c r="I28" s="39" t="n">
        <f aca="false">Assumptions!$D$15*(Q27+R27+T27+U27)</f>
        <v>0.466274529891623</v>
      </c>
      <c r="J28" s="39" t="n">
        <f aca="false">H28+I28</f>
        <v>4.49827452989162</v>
      </c>
      <c r="K28" s="39" t="n">
        <f aca="false">J28*Assumptions!$D$18</f>
        <v>0</v>
      </c>
      <c r="L28" s="39" t="n">
        <f aca="false">(J28-K28)*Assumptions!$D$17</f>
        <v>3.14879217092414</v>
      </c>
      <c r="M28" s="39" t="n">
        <f aca="false">J28-K28-L28</f>
        <v>1.34948235896749</v>
      </c>
      <c r="N28" s="39" t="n">
        <f aca="false">L28*Assumptions!$D$19</f>
        <v>0.314879217092414</v>
      </c>
      <c r="O28" s="39" t="n">
        <f aca="false">L28-N28</f>
        <v>2.83391295383172</v>
      </c>
      <c r="P28" s="39" t="n">
        <f aca="false">O16*(1-Assumptions!$D$20)^12</f>
        <v>1.79783816855029</v>
      </c>
      <c r="Q28" s="39" t="n">
        <f aca="false">Q27*(1-Assumptions!$D$20)+O28-P28</f>
        <v>31.3606946703709</v>
      </c>
      <c r="R28" s="39" t="n">
        <f aca="false">R27*(1-Assumptions!$D$22)+P28*(1-Assumptions!$D$21)</f>
        <v>12.1560707164257</v>
      </c>
      <c r="S28" s="39" t="n">
        <f aca="false">Q28+R28</f>
        <v>43.5167653867966</v>
      </c>
      <c r="T28" s="39" t="n">
        <f aca="false">T27*(1-Assumptions!$D$24)+M28*Assumptions!$D$23</f>
        <v>5.07479005371113</v>
      </c>
      <c r="U28" s="39" t="n">
        <f aca="false">U27*(1-Assumptions!$D$25)+K28</f>
        <v>0</v>
      </c>
      <c r="V28" s="39" t="n">
        <f aca="false">V27+M28</f>
        <v>25.3796582830195</v>
      </c>
      <c r="W28" s="39" t="n">
        <f aca="false">N28+Q27*Assumptions!$D$20+P28*Assumptions!$D$21+R27*Assumptions!$D$22+T27*Assumptions!$D$24+U27*Assumptions!$D$25</f>
        <v>1.58953442726893</v>
      </c>
      <c r="X28" s="39" t="n">
        <f aca="false">IF(A28&lt;Assumptions!$D$34,0,Assumptions!$D$36*MIN(1,(A28-Assumptions!$D$34+1)/Assumptions!$D$35))*(S28+T28)</f>
        <v>9.71831108810154</v>
      </c>
      <c r="Y28" s="37" t="n">
        <f aca="false">IF(Y27&gt;0,Y27,IF(AND(A28&gt;=Assumptions!$D$41,Q27+R27+T27&gt;=Assumptions!$D$40),A28,0))</f>
        <v>13</v>
      </c>
      <c r="Z28" s="39" t="n">
        <f aca="false">IF(Y28&gt;0,Assumptions!$D$42*MIN(1,(A28-Y28+1)/Assumptions!$D$43),0)*(S28+T28)</f>
        <v>14.5774666321523</v>
      </c>
      <c r="AA28" s="41" t="n">
        <f aca="false">(1+Assumptions!$D$32)^(C28-1)</f>
        <v>1.03</v>
      </c>
      <c r="AB28" s="42" t="n">
        <f aca="false">O28*Assumptions!$D$27*AA28</f>
        <v>288.974103902221</v>
      </c>
      <c r="AC28" s="42" t="n">
        <f aca="false">(Q27+R27)*Assumptions!$D$28*AA28</f>
        <v>4255.96857823289</v>
      </c>
      <c r="AD28" s="42" t="n">
        <f aca="false">M28*Assumptions!$D$29*AA28</f>
        <v>693.593448038519</v>
      </c>
      <c r="AE28" s="42" t="n">
        <f aca="false">T27*Assumptions!$D$30*AA28</f>
        <v>397.898903461486</v>
      </c>
      <c r="AF28" s="42" t="n">
        <f aca="false">U27*Assumptions!$D$31*AA28</f>
        <v>0</v>
      </c>
      <c r="AG28" s="42" t="n">
        <f aca="false">X28*Assumptions!$D$37*Assumptions!$D$38</f>
        <v>680.281776167108</v>
      </c>
      <c r="AH28" s="42" t="n">
        <f aca="false">Z28*Assumptions!$D$44*Assumptions!$D$45</f>
        <v>437.323998964569</v>
      </c>
      <c r="AI28" s="42" t="n">
        <f aca="false">SUM(AB28:AH28)</f>
        <v>6754.04080876679</v>
      </c>
      <c r="AJ28" s="42" t="n">
        <f aca="false">(S28*Assumptions!$D$28+T28*Assumptions!$D$30+U28*Assumptions!$D$31)*AA28+AG28+AH28</f>
        <v>5967.9460082938</v>
      </c>
      <c r="AK28" s="42" t="n">
        <f aca="false">(AI28-AH28)*Assumptions!$D$49</f>
        <v>240.035238772484</v>
      </c>
      <c r="AL28" s="42" t="n">
        <f aca="false">(AC28+AE28+AF28)*Assumptions!$D$50</f>
        <v>32.5770723718606</v>
      </c>
      <c r="AM28" s="42" t="n">
        <f aca="false">S28*Assumptions!$D$51+M28*Assumptions!$D$52</f>
        <v>74.638192118008</v>
      </c>
      <c r="AN28" s="42" t="n">
        <f aca="false">Assumptions!$D$53+Assumptions!$D$54*(S28+T28+U28)</f>
        <v>295.774666321523</v>
      </c>
      <c r="AO28" s="42" t="n">
        <f aca="false">IF(C28&gt;=2,Assumptions!$D$55,0)</f>
        <v>100</v>
      </c>
      <c r="AP28" s="39" t="n">
        <f aca="false">E28*Assumptions!$D$60/60+F28*Assumptions!$D$61+J28*Assumptions!$D$62+(S28+T28)*Assumptions!$D$63+X28*Assumptions!$D$64+Z28*Assumptions!$D$65+U28*Assumptions!$D$66+Assumptions!$D$67*52/12</f>
        <v>146.046559966684</v>
      </c>
      <c r="AQ28" s="39" t="n">
        <f aca="false">IF(BC27=1,Assumptions!$D$69,Assumptions!$D$68)*52/12</f>
        <v>108.333333333333</v>
      </c>
      <c r="AR28" s="39" t="n">
        <f aca="false">MAX(0,AP28-AQ28)</f>
        <v>37.7132266333511</v>
      </c>
      <c r="AS28" s="42" t="n">
        <f aca="false">AR28*Assumptions!$D$70*Assumptions!$D$71</f>
        <v>424.2737996252</v>
      </c>
      <c r="AT28" s="42" t="n">
        <f aca="false">Assumptions!$D$56/12</f>
        <v>75</v>
      </c>
      <c r="AU28" s="42" t="n">
        <f aca="false">IF(A28=1,Assumptions!$D$57,0)+Assumptions!$D$58</f>
        <v>45</v>
      </c>
      <c r="AV28" s="42" t="n">
        <f aca="false">IF(AND(Y28&gt;0,Y28=A28),Assumptions!$D$46,0)+IF(Y28&gt;0,Assumptions!$D$47,0)</f>
        <v>50</v>
      </c>
      <c r="AW28" s="42" t="n">
        <f aca="false">AK28+AL28+AM28+AN28+AO28+AS28+AT28+AU28+AV28</f>
        <v>1337.29896920908</v>
      </c>
      <c r="AX28" s="42" t="n">
        <f aca="false">AI28-AW28</f>
        <v>5416.74183955771</v>
      </c>
      <c r="AY28" s="42" t="n">
        <f aca="false">MAX(0,AX28)*Assumptions!$D$73</f>
        <v>1516.68771507616</v>
      </c>
      <c r="AZ28" s="42" t="n">
        <f aca="false">AX28-AY28</f>
        <v>3900.05412448155</v>
      </c>
      <c r="BA28" s="42" t="n">
        <f aca="false">BA27+AZ28</f>
        <v>43178.4338069952</v>
      </c>
      <c r="BB28" s="37" t="n">
        <f aca="false">IF(AZ28&gt;=Assumptions!$D$74/12,BB27+1,0)</f>
        <v>0</v>
      </c>
      <c r="BC28" s="37" t="n">
        <f aca="false">IF(OR(BC27=1,BB28&gt;=3),1,0)</f>
        <v>0</v>
      </c>
      <c r="BD28" s="37" t="n">
        <f aca="false">IF(AZ28&gt;=Assumptions!$D$75/12,BD27+1,0)</f>
        <v>0</v>
      </c>
      <c r="BE28" s="39" t="n">
        <f aca="false">AP28*12/52</f>
        <v>33.7030523000041</v>
      </c>
      <c r="BF28" s="39" t="n">
        <f aca="false">AR28*12/52</f>
        <v>8.7030523000041</v>
      </c>
      <c r="BG28" s="37" t="n">
        <f aca="false">IF(AX28&gt;0,A28,999)</f>
        <v>24</v>
      </c>
      <c r="BH28" s="37" t="n">
        <f aca="false">IF(BB28&gt;=3,A28,999)</f>
        <v>999</v>
      </c>
      <c r="BI28" s="37" t="n">
        <f aca="false">IF(BD28&gt;=3,A28,999)</f>
        <v>999</v>
      </c>
    </row>
    <row r="29" customFormat="false" ht="15" hidden="false" customHeight="false" outlineLevel="0" collapsed="false">
      <c r="A29" s="31" t="n">
        <v>25</v>
      </c>
      <c r="B29" s="32" t="n">
        <f aca="false">DATE(2026,10+A29,1)</f>
        <v>47058</v>
      </c>
      <c r="C29" s="31" t="n">
        <f aca="false">INT((A29-1)/12)+1</f>
        <v>3</v>
      </c>
      <c r="D29" s="31" t="n">
        <f aca="false">IF(C29=1,Assumptions!$D$7,IF(C29=2,Assumptions!$D$8,Assumptions!$D$9))</f>
        <v>25</v>
      </c>
      <c r="E29" s="31" t="n">
        <f aca="false">D29*Assumptions!$D$10</f>
        <v>525</v>
      </c>
      <c r="F29" s="33" t="n">
        <f aca="false">E29*Assumptions!$D$11</f>
        <v>42</v>
      </c>
      <c r="G29" s="34" t="n">
        <f aca="false">MIN(1,Assumptions!$D$13+(1-Assumptions!$D$13)*(A29-1)/Assumptions!$D$14)</f>
        <v>1</v>
      </c>
      <c r="H29" s="33" t="n">
        <f aca="false">F29*Assumptions!$D$12*G29</f>
        <v>5.04</v>
      </c>
      <c r="I29" s="33" t="n">
        <f aca="false">Assumptions!$D$15*(Q28+R28+T28+U28)</f>
        <v>0.485915554405077</v>
      </c>
      <c r="J29" s="33" t="n">
        <f aca="false">H29+I29</f>
        <v>5.52591555440508</v>
      </c>
      <c r="K29" s="33" t="n">
        <f aca="false">J29*Assumptions!$D$18</f>
        <v>0</v>
      </c>
      <c r="L29" s="33" t="n">
        <f aca="false">(J29-K29)*Assumptions!$D$17</f>
        <v>3.86814088808355</v>
      </c>
      <c r="M29" s="33" t="n">
        <f aca="false">J29-K29-L29</f>
        <v>1.65777466632152</v>
      </c>
      <c r="N29" s="33" t="n">
        <f aca="false">L29*Assumptions!$D$19</f>
        <v>0.386814088808355</v>
      </c>
      <c r="O29" s="33" t="n">
        <f aca="false">L29-N29</f>
        <v>3.4813267992752</v>
      </c>
      <c r="P29" s="33" t="n">
        <f aca="false">O17*(1-Assumptions!$D$20)^12</f>
        <v>2.37216112593205</v>
      </c>
      <c r="Q29" s="33" t="n">
        <f aca="false">Q28*(1-Assumptions!$D$20)+O29-P29</f>
        <v>32.1562533970103</v>
      </c>
      <c r="R29" s="33" t="n">
        <f aca="false">R28*(1-Assumptions!$D$22)+P29*(1-Assumptions!$D$21)</f>
        <v>13.6283371420964</v>
      </c>
      <c r="S29" s="33" t="n">
        <f aca="false">Q29+R29</f>
        <v>45.7845905391067</v>
      </c>
      <c r="T29" s="33" t="n">
        <f aca="false">T28*(1-Assumptions!$D$24)+M29*Assumptions!$D$23</f>
        <v>5.34375690119059</v>
      </c>
      <c r="U29" s="33" t="n">
        <f aca="false">U28*(1-Assumptions!$D$25)+K29</f>
        <v>0</v>
      </c>
      <c r="V29" s="33" t="n">
        <f aca="false">V28+M29</f>
        <v>27.037432949341</v>
      </c>
      <c r="W29" s="33" t="n">
        <f aca="false">N29+Q28*Assumptions!$D$20+P29*Assumptions!$D$21+R28*Assumptions!$D$22+T28*Assumptions!$D$24+U28*Assumptions!$D$25</f>
        <v>1.82868128819037</v>
      </c>
      <c r="X29" s="33" t="n">
        <f aca="false">IF(A29&lt;Assumptions!$D$34,0,Assumptions!$D$36*MIN(1,(A29-Assumptions!$D$34+1)/Assumptions!$D$35))*(S29+T29)</f>
        <v>10.2256694880595</v>
      </c>
      <c r="Y29" s="31" t="n">
        <f aca="false">IF(Y28&gt;0,Y28,IF(AND(A29&gt;=Assumptions!$D$41,Q28+R28+T28&gt;=Assumptions!$D$40),A29,0))</f>
        <v>13</v>
      </c>
      <c r="Z29" s="33" t="n">
        <f aca="false">IF(Y29&gt;0,Assumptions!$D$42*MIN(1,(A29-Y29+1)/Assumptions!$D$43),0)*(S29+T29)</f>
        <v>15.3385042320892</v>
      </c>
      <c r="AA29" s="35" t="n">
        <f aca="false">(1+Assumptions!$D$32)^(C29-1)</f>
        <v>1.0609</v>
      </c>
      <c r="AB29" s="36" t="n">
        <f aca="false">O29*Assumptions!$D$27*AA29</f>
        <v>365.640620533755</v>
      </c>
      <c r="AC29" s="36" t="n">
        <f aca="false">(Q28+R28)*Assumptions!$D$28*AA29</f>
        <v>4570.5267034864</v>
      </c>
      <c r="AD29" s="36" t="n">
        <f aca="false">M29*Assumptions!$D$29*AA29</f>
        <v>877.607838606751</v>
      </c>
      <c r="AE29" s="36" t="n">
        <f aca="false">T28*Assumptions!$D$30*AA29</f>
        <v>425.323736670589</v>
      </c>
      <c r="AF29" s="36" t="n">
        <f aca="false">U28*Assumptions!$D$31*AA29</f>
        <v>0</v>
      </c>
      <c r="AG29" s="36" t="n">
        <f aca="false">X29*Assumptions!$D$37*Assumptions!$D$38</f>
        <v>715.796864164163</v>
      </c>
      <c r="AH29" s="36" t="n">
        <f aca="false">Z29*Assumptions!$D$44*Assumptions!$D$45</f>
        <v>460.155126962676</v>
      </c>
      <c r="AI29" s="36" t="n">
        <f aca="false">SUM(AB29:AH29)</f>
        <v>7415.05089042433</v>
      </c>
      <c r="AJ29" s="36" t="n">
        <f aca="false">(S29*Assumptions!$D$28+T29*Assumptions!$D$30+U29*Assumptions!$D$31)*AA29+AG29+AH29</f>
        <v>6432.53247333911</v>
      </c>
      <c r="AK29" s="36" t="n">
        <f aca="false">(AI29-AH29)*Assumptions!$D$49</f>
        <v>264.286039011543</v>
      </c>
      <c r="AL29" s="36" t="n">
        <f aca="false">(AC29+AE29+AF29)*Assumptions!$D$50</f>
        <v>34.9709530810989</v>
      </c>
      <c r="AM29" s="36" t="n">
        <f aca="false">S29*Assumptions!$D$51+M29*Assumptions!$D$52</f>
        <v>82.0973581687063</v>
      </c>
      <c r="AN29" s="36" t="n">
        <f aca="false">Assumptions!$D$53+Assumptions!$D$54*(S29+T29+U29)</f>
        <v>303.385042320892</v>
      </c>
      <c r="AO29" s="36" t="n">
        <f aca="false">IF(C29&gt;=2,Assumptions!$D$55,0)</f>
        <v>100</v>
      </c>
      <c r="AP29" s="33" t="n">
        <f aca="false">E29*Assumptions!$D$60/60+F29*Assumptions!$D$61+J29*Assumptions!$D$62+(S29+T29)*Assumptions!$D$63+X29*Assumptions!$D$64+Z29*Assumptions!$D$65+U29*Assumptions!$D$66+Assumptions!$D$67*52/12</f>
        <v>162.054647815338</v>
      </c>
      <c r="AQ29" s="33" t="n">
        <f aca="false">IF(BC28=1,Assumptions!$D$69,Assumptions!$D$68)*52/12</f>
        <v>108.333333333333</v>
      </c>
      <c r="AR29" s="33" t="n">
        <f aca="false">MAX(0,AP29-AQ29)</f>
        <v>53.7213144820046</v>
      </c>
      <c r="AS29" s="36" t="n">
        <f aca="false">AR29*Assumptions!$D$70*Assumptions!$D$71</f>
        <v>604.364787922552</v>
      </c>
      <c r="AT29" s="36" t="n">
        <f aca="false">Assumptions!$D$56/12</f>
        <v>75</v>
      </c>
      <c r="AU29" s="36" t="n">
        <f aca="false">IF(A29=1,Assumptions!$D$57,0)+Assumptions!$D$58</f>
        <v>45</v>
      </c>
      <c r="AV29" s="36" t="n">
        <f aca="false">IF(AND(Y29&gt;0,Y29=A29),Assumptions!$D$46,0)+IF(Y29&gt;0,Assumptions!$D$47,0)</f>
        <v>50</v>
      </c>
      <c r="AW29" s="36" t="n">
        <f aca="false">AK29+AL29+AM29+AN29+AO29+AS29+AT29+AU29+AV29</f>
        <v>1559.10418050479</v>
      </c>
      <c r="AX29" s="36" t="n">
        <f aca="false">AI29-AW29</f>
        <v>5855.94670991954</v>
      </c>
      <c r="AY29" s="36" t="n">
        <f aca="false">MAX(0,AX29)*Assumptions!$D$73</f>
        <v>1639.66507877747</v>
      </c>
      <c r="AZ29" s="36" t="n">
        <f aca="false">AX29-AY29</f>
        <v>4216.28163114207</v>
      </c>
      <c r="BA29" s="36" t="n">
        <f aca="false">BA28+AZ29</f>
        <v>47394.7154381372</v>
      </c>
      <c r="BB29" s="31" t="n">
        <f aca="false">IF(AZ29&gt;=Assumptions!$D$74/12,BB28+1,0)</f>
        <v>0</v>
      </c>
      <c r="BC29" s="31" t="n">
        <f aca="false">IF(OR(BC28=1,BB29&gt;=3),1,0)</f>
        <v>0</v>
      </c>
      <c r="BD29" s="31" t="n">
        <f aca="false">IF(AZ29&gt;=Assumptions!$D$75/12,BD28+1,0)</f>
        <v>0</v>
      </c>
      <c r="BE29" s="33" t="n">
        <f aca="false">AP29*12/52</f>
        <v>37.3972264189241</v>
      </c>
      <c r="BF29" s="33" t="n">
        <f aca="false">AR29*12/52</f>
        <v>12.3972264189241</v>
      </c>
      <c r="BG29" s="31" t="n">
        <f aca="false">IF(AX29&gt;0,A29,999)</f>
        <v>25</v>
      </c>
      <c r="BH29" s="31" t="n">
        <f aca="false">IF(BB29&gt;=3,A29,999)</f>
        <v>999</v>
      </c>
      <c r="BI29" s="31" t="n">
        <f aca="false">IF(BD29&gt;=3,A29,999)</f>
        <v>999</v>
      </c>
    </row>
    <row r="30" customFormat="false" ht="15" hidden="false" customHeight="false" outlineLevel="0" collapsed="false">
      <c r="A30" s="31" t="n">
        <v>26</v>
      </c>
      <c r="B30" s="32" t="n">
        <f aca="false">DATE(2026,10+A30,1)</f>
        <v>47088</v>
      </c>
      <c r="C30" s="31" t="n">
        <f aca="false">INT((A30-1)/12)+1</f>
        <v>3</v>
      </c>
      <c r="D30" s="31" t="n">
        <f aca="false">IF(C30=1,Assumptions!$D$7,IF(C30=2,Assumptions!$D$8,Assumptions!$D$9))</f>
        <v>25</v>
      </c>
      <c r="E30" s="31" t="n">
        <f aca="false">D30*Assumptions!$D$10</f>
        <v>525</v>
      </c>
      <c r="F30" s="33" t="n">
        <f aca="false">E30*Assumptions!$D$11</f>
        <v>42</v>
      </c>
      <c r="G30" s="34" t="n">
        <f aca="false">MIN(1,Assumptions!$D$13+(1-Assumptions!$D$13)*(A30-1)/Assumptions!$D$14)</f>
        <v>1</v>
      </c>
      <c r="H30" s="33" t="n">
        <f aca="false">F30*Assumptions!$D$12*G30</f>
        <v>5.04</v>
      </c>
      <c r="I30" s="33" t="n">
        <f aca="false">Assumptions!$D$15*(Q29+R29+T29+U29)</f>
        <v>0.511283474402973</v>
      </c>
      <c r="J30" s="33" t="n">
        <f aca="false">H30+I30</f>
        <v>5.55128347440297</v>
      </c>
      <c r="K30" s="33" t="n">
        <f aca="false">J30*Assumptions!$D$18</f>
        <v>0</v>
      </c>
      <c r="L30" s="33" t="n">
        <f aca="false">(J30-K30)*Assumptions!$D$17</f>
        <v>3.88589843208208</v>
      </c>
      <c r="M30" s="33" t="n">
        <f aca="false">J30-K30-L30</f>
        <v>1.66538504232089</v>
      </c>
      <c r="N30" s="33" t="n">
        <f aca="false">L30*Assumptions!$D$19</f>
        <v>0.388589843208208</v>
      </c>
      <c r="O30" s="33" t="n">
        <f aca="false">L30-N30</f>
        <v>3.49730858887387</v>
      </c>
      <c r="P30" s="33" t="n">
        <f aca="false">O18*(1-Assumptions!$D$20)^12</f>
        <v>2.38663428947432</v>
      </c>
      <c r="Q30" s="33" t="n">
        <f aca="false">Q29*(1-Assumptions!$D$20)+O30-P30</f>
        <v>32.9453651624398</v>
      </c>
      <c r="R30" s="33" t="n">
        <f aca="false">R29*(1-Assumptions!$D$22)+P30*(1-Assumptions!$D$21)</f>
        <v>15.0606527737025</v>
      </c>
      <c r="S30" s="33" t="n">
        <f aca="false">Q30+R30</f>
        <v>48.0060179361423</v>
      </c>
      <c r="T30" s="33" t="n">
        <f aca="false">T29*(1-Assumptions!$D$24)+M30*Assumptions!$D$23</f>
        <v>5.60290335333328</v>
      </c>
      <c r="U30" s="33" t="n">
        <f aca="false">U29*(1-Assumptions!$D$25)+K30</f>
        <v>0</v>
      </c>
      <c r="V30" s="33" t="n">
        <f aca="false">V29+M30</f>
        <v>28.7028179916619</v>
      </c>
      <c r="W30" s="33" t="n">
        <f aca="false">N30+Q29*Assumptions!$D$20+P30*Assumptions!$D$21+R29*Assumptions!$D$22+T29*Assumptions!$D$24+U29*Assumptions!$D$25</f>
        <v>1.90494009560013</v>
      </c>
      <c r="X30" s="33" t="n">
        <f aca="false">IF(A30&lt;Assumptions!$D$34,0,Assumptions!$D$36*MIN(1,(A30-Assumptions!$D$34+1)/Assumptions!$D$35))*(S30+T30)</f>
        <v>10.7217842578951</v>
      </c>
      <c r="Y30" s="31" t="n">
        <f aca="false">IF(Y29&gt;0,Y29,IF(AND(A30&gt;=Assumptions!$D$41,Q29+R29+T29&gt;=Assumptions!$D$40),A30,0))</f>
        <v>13</v>
      </c>
      <c r="Z30" s="33" t="n">
        <f aca="false">IF(Y30&gt;0,Assumptions!$D$42*MIN(1,(A30-Y30+1)/Assumptions!$D$43),0)*(S30+T30)</f>
        <v>16.0826763868427</v>
      </c>
      <c r="AA30" s="35" t="n">
        <f aca="false">(1+Assumptions!$D$32)^(C30-1)</f>
        <v>1.0609</v>
      </c>
      <c r="AB30" s="36" t="n">
        <f aca="false">O30*Assumptions!$D$27*AA30</f>
        <v>367.319173511693</v>
      </c>
      <c r="AC30" s="36" t="n">
        <f aca="false">(Q29+R29)*Assumptions!$D$28*AA30</f>
        <v>4808.7143381909</v>
      </c>
      <c r="AD30" s="36" t="n">
        <f aca="false">M30*Assumptions!$D$29*AA30</f>
        <v>881.636688707719</v>
      </c>
      <c r="AE30" s="36" t="n">
        <f aca="false">T29*Assumptions!$D$30*AA30</f>
        <v>447.866144021374</v>
      </c>
      <c r="AF30" s="36" t="n">
        <f aca="false">U29*Assumptions!$D$31*AA30</f>
        <v>0</v>
      </c>
      <c r="AG30" s="36" t="n">
        <f aca="false">X30*Assumptions!$D$37*Assumptions!$D$38</f>
        <v>750.524898052658</v>
      </c>
      <c r="AH30" s="36" t="n">
        <f aca="false">Z30*Assumptions!$D$44*Assumptions!$D$45</f>
        <v>482.48029160528</v>
      </c>
      <c r="AI30" s="36" t="n">
        <f aca="false">SUM(AB30:AH30)</f>
        <v>7738.54153408962</v>
      </c>
      <c r="AJ30" s="36" t="n">
        <f aca="false">(S30*Assumptions!$D$28+T30*Assumptions!$D$30+U30*Assumptions!$D$31)*AA30+AG30+AH30</f>
        <v>6744.61954131137</v>
      </c>
      <c r="AK30" s="36" t="n">
        <f aca="false">(AI30-AH30)*Assumptions!$D$49</f>
        <v>275.730327214405</v>
      </c>
      <c r="AL30" s="36" t="n">
        <f aca="false">(AC30+AE30+AF30)*Assumptions!$D$50</f>
        <v>36.7960633754859</v>
      </c>
      <c r="AM30" s="36" t="n">
        <f aca="false">S30*Assumptions!$D$51+M30*Assumptions!$D$52</f>
        <v>84.9882980549912</v>
      </c>
      <c r="AN30" s="36" t="n">
        <f aca="false">Assumptions!$D$53+Assumptions!$D$54*(S30+T30+U30)</f>
        <v>310.826763868427</v>
      </c>
      <c r="AO30" s="36" t="n">
        <f aca="false">IF(C30&gt;=2,Assumptions!$D$55,0)</f>
        <v>100</v>
      </c>
      <c r="AP30" s="33" t="n">
        <f aca="false">E30*Assumptions!$D$60/60+F30*Assumptions!$D$61+J30*Assumptions!$D$62+(S30+T30)*Assumptions!$D$63+X30*Assumptions!$D$64+Z30*Assumptions!$D$65+U30*Assumptions!$D$66+Assumptions!$D$67*52/12</f>
        <v>166.508402237625</v>
      </c>
      <c r="AQ30" s="33" t="n">
        <f aca="false">IF(BC29=1,Assumptions!$D$69,Assumptions!$D$68)*52/12</f>
        <v>108.333333333333</v>
      </c>
      <c r="AR30" s="33" t="n">
        <f aca="false">MAX(0,AP30-AQ30)</f>
        <v>58.1750689042917</v>
      </c>
      <c r="AS30" s="36" t="n">
        <f aca="false">AR30*Assumptions!$D$70*Assumptions!$D$71</f>
        <v>654.469525173282</v>
      </c>
      <c r="AT30" s="36" t="n">
        <f aca="false">Assumptions!$D$56/12</f>
        <v>75</v>
      </c>
      <c r="AU30" s="36" t="n">
        <f aca="false">IF(A30=1,Assumptions!$D$57,0)+Assumptions!$D$58</f>
        <v>45</v>
      </c>
      <c r="AV30" s="36" t="n">
        <f aca="false">IF(AND(Y30&gt;0,Y30=A30),Assumptions!$D$46,0)+IF(Y30&gt;0,Assumptions!$D$47,0)</f>
        <v>50</v>
      </c>
      <c r="AW30" s="36" t="n">
        <f aca="false">AK30+AL30+AM30+AN30+AO30+AS30+AT30+AU30+AV30</f>
        <v>1632.81097768659</v>
      </c>
      <c r="AX30" s="36" t="n">
        <f aca="false">AI30-AW30</f>
        <v>6105.73055640303</v>
      </c>
      <c r="AY30" s="36" t="n">
        <f aca="false">MAX(0,AX30)*Assumptions!$D$73</f>
        <v>1709.60455579285</v>
      </c>
      <c r="AZ30" s="36" t="n">
        <f aca="false">AX30-AY30</f>
        <v>4396.12600061018</v>
      </c>
      <c r="BA30" s="36" t="n">
        <f aca="false">BA29+AZ30</f>
        <v>51790.8414387474</v>
      </c>
      <c r="BB30" s="31" t="n">
        <f aca="false">IF(AZ30&gt;=Assumptions!$D$74/12,BB29+1,0)</f>
        <v>0</v>
      </c>
      <c r="BC30" s="31" t="n">
        <f aca="false">IF(OR(BC29=1,BB30&gt;=3),1,0)</f>
        <v>0</v>
      </c>
      <c r="BD30" s="31" t="n">
        <f aca="false">IF(AZ30&gt;=Assumptions!$D$75/12,BD29+1,0)</f>
        <v>0</v>
      </c>
      <c r="BE30" s="33" t="n">
        <f aca="false">AP30*12/52</f>
        <v>38.4250159009904</v>
      </c>
      <c r="BF30" s="33" t="n">
        <f aca="false">AR30*12/52</f>
        <v>13.4250159009904</v>
      </c>
      <c r="BG30" s="31" t="n">
        <f aca="false">IF(AX30&gt;0,A30,999)</f>
        <v>26</v>
      </c>
      <c r="BH30" s="31" t="n">
        <f aca="false">IF(BB30&gt;=3,A30,999)</f>
        <v>999</v>
      </c>
      <c r="BI30" s="31" t="n">
        <f aca="false">IF(BD30&gt;=3,A30,999)</f>
        <v>999</v>
      </c>
    </row>
    <row r="31" customFormat="false" ht="15" hidden="false" customHeight="false" outlineLevel="0" collapsed="false">
      <c r="A31" s="31" t="n">
        <v>27</v>
      </c>
      <c r="B31" s="32" t="n">
        <f aca="false">DATE(2026,10+A31,1)</f>
        <v>47119</v>
      </c>
      <c r="C31" s="31" t="n">
        <f aca="false">INT((A31-1)/12)+1</f>
        <v>3</v>
      </c>
      <c r="D31" s="31" t="n">
        <f aca="false">IF(C31=1,Assumptions!$D$7,IF(C31=2,Assumptions!$D$8,Assumptions!$D$9))</f>
        <v>25</v>
      </c>
      <c r="E31" s="31" t="n">
        <f aca="false">D31*Assumptions!$D$10</f>
        <v>525</v>
      </c>
      <c r="F31" s="33" t="n">
        <f aca="false">E31*Assumptions!$D$11</f>
        <v>42</v>
      </c>
      <c r="G31" s="34" t="n">
        <f aca="false">MIN(1,Assumptions!$D$13+(1-Assumptions!$D$13)*(A31-1)/Assumptions!$D$14)</f>
        <v>1</v>
      </c>
      <c r="H31" s="33" t="n">
        <f aca="false">F31*Assumptions!$D$12*G31</f>
        <v>5.04</v>
      </c>
      <c r="I31" s="33" t="n">
        <f aca="false">Assumptions!$D$15*(Q30+R30+T30+U30)</f>
        <v>0.536089212894756</v>
      </c>
      <c r="J31" s="33" t="n">
        <f aca="false">H31+I31</f>
        <v>5.57608921289476</v>
      </c>
      <c r="K31" s="33" t="n">
        <f aca="false">J31*Assumptions!$D$18</f>
        <v>0</v>
      </c>
      <c r="L31" s="33" t="n">
        <f aca="false">(J31-K31)*Assumptions!$D$17</f>
        <v>3.90326244902633</v>
      </c>
      <c r="M31" s="33" t="n">
        <f aca="false">J31-K31-L31</f>
        <v>1.67282676386843</v>
      </c>
      <c r="N31" s="33" t="n">
        <f aca="false">L31*Assumptions!$D$19</f>
        <v>0.390326244902633</v>
      </c>
      <c r="O31" s="33" t="n">
        <f aca="false">L31-N31</f>
        <v>3.5129362041237</v>
      </c>
      <c r="P31" s="33" t="n">
        <f aca="false">O19*(1-Assumptions!$D$20)^12</f>
        <v>2.40075453374742</v>
      </c>
      <c r="Q31" s="33" t="n">
        <f aca="false">Q30*(1-Assumptions!$D$20)+O31-P31</f>
        <v>33.7280931811917</v>
      </c>
      <c r="R31" s="33" t="n">
        <f aca="false">R30*(1-Assumptions!$D$22)+P31*(1-Assumptions!$D$21)</f>
        <v>16.4541335536209</v>
      </c>
      <c r="S31" s="33" t="n">
        <f aca="false">Q31+R31</f>
        <v>50.1822267348125</v>
      </c>
      <c r="T31" s="33" t="n">
        <f aca="false">T30*(1-Assumptions!$D$24)+M31*Assumptions!$D$23</f>
        <v>5.85262073159381</v>
      </c>
      <c r="U31" s="33" t="n">
        <f aca="false">U30*(1-Assumptions!$D$25)+K31</f>
        <v>0</v>
      </c>
      <c r="V31" s="33" t="n">
        <f aca="false">V30+M31</f>
        <v>30.3756447555304</v>
      </c>
      <c r="W31" s="33" t="n">
        <f aca="false">N31+Q30*Assumptions!$D$20+P31*Assumptions!$D$21+R30*Assumptions!$D$22+T30*Assumptions!$D$24+U30*Assumptions!$D$25</f>
        <v>1.9791843012561</v>
      </c>
      <c r="X31" s="33" t="n">
        <f aca="false">IF(A31&lt;Assumptions!$D$34,0,Assumptions!$D$36*MIN(1,(A31-Assumptions!$D$34+1)/Assumptions!$D$35))*(S31+T31)</f>
        <v>11.2069694932813</v>
      </c>
      <c r="Y31" s="31" t="n">
        <f aca="false">IF(Y30&gt;0,Y30,IF(AND(A31&gt;=Assumptions!$D$41,Q30+R30+T30&gt;=Assumptions!$D$40),A31,0))</f>
        <v>13</v>
      </c>
      <c r="Z31" s="33" t="n">
        <f aca="false">IF(Y31&gt;0,Assumptions!$D$42*MIN(1,(A31-Y31+1)/Assumptions!$D$43),0)*(S31+T31)</f>
        <v>16.8104542399219</v>
      </c>
      <c r="AA31" s="35" t="n">
        <f aca="false">(1+Assumptions!$D$32)^(C31-1)</f>
        <v>1.0609</v>
      </c>
      <c r="AB31" s="36" t="n">
        <f aca="false">O31*Assumptions!$D$27*AA31</f>
        <v>368.960527876528</v>
      </c>
      <c r="AC31" s="36" t="n">
        <f aca="false">(Q30+R30)*Assumptions!$D$28*AA31</f>
        <v>5042.02885841688</v>
      </c>
      <c r="AD31" s="36" t="n">
        <f aca="false">M31*Assumptions!$D$29*AA31</f>
        <v>885.576254980219</v>
      </c>
      <c r="AE31" s="36" t="n">
        <f aca="false">T30*Assumptions!$D$30*AA31</f>
        <v>469.585493236551</v>
      </c>
      <c r="AF31" s="36" t="n">
        <f aca="false">U30*Assumptions!$D$31*AA31</f>
        <v>0</v>
      </c>
      <c r="AG31" s="36" t="n">
        <f aca="false">X31*Assumptions!$D$37*Assumptions!$D$38</f>
        <v>784.487864529689</v>
      </c>
      <c r="AH31" s="36" t="n">
        <f aca="false">Z31*Assumptions!$D$44*Assumptions!$D$45</f>
        <v>504.313627197657</v>
      </c>
      <c r="AI31" s="36" t="n">
        <f aca="false">SUM(AB31:AH31)</f>
        <v>8054.95262623752</v>
      </c>
      <c r="AJ31" s="36" t="n">
        <f aca="false">(S31*Assumptions!$D$28+T31*Assumptions!$D$30+U31*Assumptions!$D$31)*AA31+AG31+AH31</f>
        <v>7049.91018307832</v>
      </c>
      <c r="AK31" s="36" t="n">
        <f aca="false">(AI31-AH31)*Assumptions!$D$49</f>
        <v>286.924281963515</v>
      </c>
      <c r="AL31" s="36" t="n">
        <f aca="false">(AC31+AE31+AF31)*Assumptions!$D$50</f>
        <v>38.581300461574</v>
      </c>
      <c r="AM31" s="36" t="n">
        <f aca="false">S31*Assumptions!$D$51+M31*Assumptions!$D$52</f>
        <v>87.820184876542</v>
      </c>
      <c r="AN31" s="36" t="n">
        <f aca="false">Assumptions!$D$53+Assumptions!$D$54*(S31+T31+U31)</f>
        <v>318.104542399219</v>
      </c>
      <c r="AO31" s="36" t="n">
        <f aca="false">IF(C31&gt;=2,Assumptions!$D$55,0)</f>
        <v>100</v>
      </c>
      <c r="AP31" s="33" t="n">
        <f aca="false">E31*Assumptions!$D$60/60+F31*Assumptions!$D$61+J31*Assumptions!$D$62+(S31+T31)*Assumptions!$D$63+X31*Assumptions!$D$64+Z31*Assumptions!$D$65+U31*Assumptions!$D$66+Assumptions!$D$67*52/12</f>
        <v>170.864032678661</v>
      </c>
      <c r="AQ31" s="33" t="n">
        <f aca="false">IF(BC30=1,Assumptions!$D$69,Assumptions!$D$68)*52/12</f>
        <v>108.333333333333</v>
      </c>
      <c r="AR31" s="33" t="n">
        <f aca="false">MAX(0,AP31-AQ31)</f>
        <v>62.5306993453274</v>
      </c>
      <c r="AS31" s="36" t="n">
        <f aca="false">AR31*Assumptions!$D$70*Assumptions!$D$71</f>
        <v>703.470367634933</v>
      </c>
      <c r="AT31" s="36" t="n">
        <f aca="false">Assumptions!$D$56/12</f>
        <v>75</v>
      </c>
      <c r="AU31" s="36" t="n">
        <f aca="false">IF(A31=1,Assumptions!$D$57,0)+Assumptions!$D$58</f>
        <v>45</v>
      </c>
      <c r="AV31" s="36" t="n">
        <f aca="false">IF(AND(Y31&gt;0,Y31=A31),Assumptions!$D$46,0)+IF(Y31&gt;0,Assumptions!$D$47,0)</f>
        <v>50</v>
      </c>
      <c r="AW31" s="36" t="n">
        <f aca="false">AK31+AL31+AM31+AN31+AO31+AS31+AT31+AU31+AV31</f>
        <v>1704.90067733578</v>
      </c>
      <c r="AX31" s="36" t="n">
        <f aca="false">AI31-AW31</f>
        <v>6350.05194890174</v>
      </c>
      <c r="AY31" s="36" t="n">
        <f aca="false">MAX(0,AX31)*Assumptions!$D$73</f>
        <v>1778.01454569249</v>
      </c>
      <c r="AZ31" s="36" t="n">
        <f aca="false">AX31-AY31</f>
        <v>4572.03740320925</v>
      </c>
      <c r="BA31" s="36" t="n">
        <f aca="false">BA30+AZ31</f>
        <v>56362.8788419567</v>
      </c>
      <c r="BB31" s="31" t="n">
        <f aca="false">IF(AZ31&gt;=Assumptions!$D$74/12,BB30+1,0)</f>
        <v>0</v>
      </c>
      <c r="BC31" s="31" t="n">
        <f aca="false">IF(OR(BC30=1,BB31&gt;=3),1,0)</f>
        <v>0</v>
      </c>
      <c r="BD31" s="31" t="n">
        <f aca="false">IF(AZ31&gt;=Assumptions!$D$75/12,BD30+1,0)</f>
        <v>0</v>
      </c>
      <c r="BE31" s="33" t="n">
        <f aca="false">AP31*12/52</f>
        <v>39.4301613873832</v>
      </c>
      <c r="BF31" s="33" t="n">
        <f aca="false">AR31*12/52</f>
        <v>14.4301613873832</v>
      </c>
      <c r="BG31" s="31" t="n">
        <f aca="false">IF(AX31&gt;0,A31,999)</f>
        <v>27</v>
      </c>
      <c r="BH31" s="31" t="n">
        <f aca="false">IF(BB31&gt;=3,A31,999)</f>
        <v>999</v>
      </c>
      <c r="BI31" s="31" t="n">
        <f aca="false">IF(BD31&gt;=3,A31,999)</f>
        <v>999</v>
      </c>
    </row>
    <row r="32" customFormat="false" ht="15" hidden="false" customHeight="false" outlineLevel="0" collapsed="false">
      <c r="A32" s="31" t="n">
        <v>28</v>
      </c>
      <c r="B32" s="32" t="n">
        <f aca="false">DATE(2026,10+A32,1)</f>
        <v>47150</v>
      </c>
      <c r="C32" s="31" t="n">
        <f aca="false">INT((A32-1)/12)+1</f>
        <v>3</v>
      </c>
      <c r="D32" s="31" t="n">
        <f aca="false">IF(C32=1,Assumptions!$D$7,IF(C32=2,Assumptions!$D$8,Assumptions!$D$9))</f>
        <v>25</v>
      </c>
      <c r="E32" s="31" t="n">
        <f aca="false">D32*Assumptions!$D$10</f>
        <v>525</v>
      </c>
      <c r="F32" s="33" t="n">
        <f aca="false">E32*Assumptions!$D$11</f>
        <v>42</v>
      </c>
      <c r="G32" s="34" t="n">
        <f aca="false">MIN(1,Assumptions!$D$13+(1-Assumptions!$D$13)*(A32-1)/Assumptions!$D$14)</f>
        <v>1</v>
      </c>
      <c r="H32" s="33" t="n">
        <f aca="false">F32*Assumptions!$D$12*G32</f>
        <v>5.04</v>
      </c>
      <c r="I32" s="33" t="n">
        <f aca="false">Assumptions!$D$15*(Q31+R31+T31+U31)</f>
        <v>0.560348474664063</v>
      </c>
      <c r="J32" s="33" t="n">
        <f aca="false">H32+I32</f>
        <v>5.60034847466406</v>
      </c>
      <c r="K32" s="33" t="n">
        <f aca="false">J32*Assumptions!$D$18</f>
        <v>0</v>
      </c>
      <c r="L32" s="33" t="n">
        <f aca="false">(J32-K32)*Assumptions!$D$17</f>
        <v>3.92024393226484</v>
      </c>
      <c r="M32" s="33" t="n">
        <f aca="false">J32-K32-L32</f>
        <v>1.68010454239922</v>
      </c>
      <c r="N32" s="33" t="n">
        <f aca="false">L32*Assumptions!$D$19</f>
        <v>0.392024393226484</v>
      </c>
      <c r="O32" s="33" t="n">
        <f aca="false">L32-N32</f>
        <v>3.52821953903836</v>
      </c>
      <c r="P32" s="33" t="n">
        <f aca="false">O20*(1-Assumptions!$D$20)^12</f>
        <v>2.41451064947161</v>
      </c>
      <c r="Q32" s="33" t="n">
        <f aca="false">Q31*(1-Assumptions!$D$20)+O32-P32</f>
        <v>34.5045211389465</v>
      </c>
      <c r="R32" s="33" t="n">
        <f aca="false">R31*(1-Assumptions!$D$22)+P32*(1-Assumptions!$D$21)</f>
        <v>17.8098473988214</v>
      </c>
      <c r="S32" s="33" t="n">
        <f aca="false">Q32+R32</f>
        <v>52.3143685377679</v>
      </c>
      <c r="T32" s="33" t="n">
        <f aca="false">T31*(1-Assumptions!$D$24)+M32*Assumptions!$D$23</f>
        <v>6.09328416139185</v>
      </c>
      <c r="U32" s="33" t="n">
        <f aca="false">U31*(1-Assumptions!$D$25)+K32</f>
        <v>0</v>
      </c>
      <c r="V32" s="33" t="n">
        <f aca="false">V31+M32</f>
        <v>32.0557492979296</v>
      </c>
      <c r="W32" s="33" t="n">
        <f aca="false">N32+Q31*Assumptions!$D$20+P32*Assumptions!$D$21+R31*Assumptions!$D$22+T31*Assumptions!$D$24+U31*Assumptions!$D$25</f>
        <v>2.05147006223118</v>
      </c>
      <c r="X32" s="33" t="n">
        <f aca="false">IF(A32&lt;Assumptions!$D$34,0,Assumptions!$D$36*MIN(1,(A32-Assumptions!$D$34+1)/Assumptions!$D$35))*(S32+T32)</f>
        <v>11.681530539832</v>
      </c>
      <c r="Y32" s="31" t="n">
        <f aca="false">IF(Y31&gt;0,Y31,IF(AND(A32&gt;=Assumptions!$D$41,Q31+R31+T31&gt;=Assumptions!$D$40),A32,0))</f>
        <v>13</v>
      </c>
      <c r="Z32" s="33" t="n">
        <f aca="false">IF(Y32&gt;0,Assumptions!$D$42*MIN(1,(A32-Y32+1)/Assumptions!$D$43),0)*(S32+T32)</f>
        <v>17.5222958097479</v>
      </c>
      <c r="AA32" s="35" t="n">
        <f aca="false">(1+Assumptions!$D$32)^(C32-1)</f>
        <v>1.0609</v>
      </c>
      <c r="AB32" s="36" t="n">
        <f aca="false">O32*Assumptions!$D$27*AA32</f>
        <v>370.565722787614</v>
      </c>
      <c r="AC32" s="36" t="n">
        <f aca="false">(Q31+R31)*Assumptions!$D$28*AA32</f>
        <v>5270.5941099533</v>
      </c>
      <c r="AD32" s="36" t="n">
        <f aca="false">M32*Assumptions!$D$29*AA32</f>
        <v>889.429031606635</v>
      </c>
      <c r="AE32" s="36" t="n">
        <f aca="false">T31*Assumptions!$D$30*AA32</f>
        <v>490.514581397682</v>
      </c>
      <c r="AF32" s="36" t="n">
        <f aca="false">U31*Assumptions!$D$31*AA32</f>
        <v>0</v>
      </c>
      <c r="AG32" s="36" t="n">
        <f aca="false">X32*Assumptions!$D$37*Assumptions!$D$38</f>
        <v>817.707137788236</v>
      </c>
      <c r="AH32" s="36" t="n">
        <f aca="false">Z32*Assumptions!$D$44*Assumptions!$D$45</f>
        <v>525.668874292438</v>
      </c>
      <c r="AI32" s="36" t="n">
        <f aca="false">SUM(AB32:AH32)</f>
        <v>8364.4794578259</v>
      </c>
      <c r="AJ32" s="36" t="n">
        <f aca="false">(S32*Assumptions!$D$28+T32*Assumptions!$D$30+U32*Assumptions!$D$31)*AA32+AG32+AH32</f>
        <v>7348.59190484958</v>
      </c>
      <c r="AK32" s="36" t="n">
        <f aca="false">(AI32-AH32)*Assumptions!$D$49</f>
        <v>297.874802174272</v>
      </c>
      <c r="AL32" s="36" t="n">
        <f aca="false">(AC32+AE32+AF32)*Assumptions!$D$50</f>
        <v>40.3277608394569</v>
      </c>
      <c r="AM32" s="36" t="n">
        <f aca="false">S32*Assumptions!$D$51+M32*Assumptions!$D$52</f>
        <v>90.5945288081982</v>
      </c>
      <c r="AN32" s="36" t="n">
        <f aca="false">Assumptions!$D$53+Assumptions!$D$54*(S32+T32+U32)</f>
        <v>325.222958097479</v>
      </c>
      <c r="AO32" s="36" t="n">
        <f aca="false">IF(C32&gt;=2,Assumptions!$D$55,0)</f>
        <v>100</v>
      </c>
      <c r="AP32" s="33" t="n">
        <f aca="false">E32*Assumptions!$D$60/60+F32*Assumptions!$D$61+J32*Assumptions!$D$62+(S32+T32)*Assumptions!$D$63+X32*Assumptions!$D$64+Z32*Assumptions!$D$65+U32*Assumptions!$D$66+Assumptions!$D$67*52/12</f>
        <v>175.124280490337</v>
      </c>
      <c r="AQ32" s="33" t="n">
        <f aca="false">IF(BC31=1,Assumptions!$D$69,Assumptions!$D$68)*52/12</f>
        <v>108.333333333333</v>
      </c>
      <c r="AR32" s="33" t="n">
        <f aca="false">MAX(0,AP32-AQ32)</f>
        <v>66.7909471570033</v>
      </c>
      <c r="AS32" s="36" t="n">
        <f aca="false">AR32*Assumptions!$D$70*Assumptions!$D$71</f>
        <v>751.398155516288</v>
      </c>
      <c r="AT32" s="36" t="n">
        <f aca="false">Assumptions!$D$56/12</f>
        <v>75</v>
      </c>
      <c r="AU32" s="36" t="n">
        <f aca="false">IF(A32=1,Assumptions!$D$57,0)+Assumptions!$D$58</f>
        <v>45</v>
      </c>
      <c r="AV32" s="36" t="n">
        <f aca="false">IF(AND(Y32&gt;0,Y32=A32),Assumptions!$D$46,0)+IF(Y32&gt;0,Assumptions!$D$47,0)</f>
        <v>50</v>
      </c>
      <c r="AW32" s="36" t="n">
        <f aca="false">AK32+AL32+AM32+AN32+AO32+AS32+AT32+AU32+AV32</f>
        <v>1775.41820543569</v>
      </c>
      <c r="AX32" s="36" t="n">
        <f aca="false">AI32-AW32</f>
        <v>6589.06125239021</v>
      </c>
      <c r="AY32" s="36" t="n">
        <f aca="false">MAX(0,AX32)*Assumptions!$D$73</f>
        <v>1844.93715066926</v>
      </c>
      <c r="AZ32" s="36" t="n">
        <f aca="false">AX32-AY32</f>
        <v>4744.12410172095</v>
      </c>
      <c r="BA32" s="36" t="n">
        <f aca="false">BA31+AZ32</f>
        <v>61107.0029436776</v>
      </c>
      <c r="BB32" s="31" t="n">
        <f aca="false">IF(AZ32&gt;=Assumptions!$D$74/12,BB31+1,0)</f>
        <v>0</v>
      </c>
      <c r="BC32" s="31" t="n">
        <f aca="false">IF(OR(BC31=1,BB32&gt;=3),1,0)</f>
        <v>0</v>
      </c>
      <c r="BD32" s="31" t="n">
        <f aca="false">IF(AZ32&gt;=Assumptions!$D$75/12,BD31+1,0)</f>
        <v>0</v>
      </c>
      <c r="BE32" s="33" t="n">
        <f aca="false">AP32*12/52</f>
        <v>40.41329549777</v>
      </c>
      <c r="BF32" s="33" t="n">
        <f aca="false">AR32*12/52</f>
        <v>15.41329549777</v>
      </c>
      <c r="BG32" s="31" t="n">
        <f aca="false">IF(AX32&gt;0,A32,999)</f>
        <v>28</v>
      </c>
      <c r="BH32" s="31" t="n">
        <f aca="false">IF(BB32&gt;=3,A32,999)</f>
        <v>999</v>
      </c>
      <c r="BI32" s="31" t="n">
        <f aca="false">IF(BD32&gt;=3,A32,999)</f>
        <v>999</v>
      </c>
    </row>
    <row r="33" customFormat="false" ht="15" hidden="false" customHeight="false" outlineLevel="0" collapsed="false">
      <c r="A33" s="31" t="n">
        <v>29</v>
      </c>
      <c r="B33" s="32" t="n">
        <f aca="false">DATE(2026,10+A33,1)</f>
        <v>47178</v>
      </c>
      <c r="C33" s="31" t="n">
        <f aca="false">INT((A33-1)/12)+1</f>
        <v>3</v>
      </c>
      <c r="D33" s="31" t="n">
        <f aca="false">IF(C33=1,Assumptions!$D$7,IF(C33=2,Assumptions!$D$8,Assumptions!$D$9))</f>
        <v>25</v>
      </c>
      <c r="E33" s="31" t="n">
        <f aca="false">D33*Assumptions!$D$10</f>
        <v>525</v>
      </c>
      <c r="F33" s="33" t="n">
        <f aca="false">E33*Assumptions!$D$11</f>
        <v>42</v>
      </c>
      <c r="G33" s="34" t="n">
        <f aca="false">MIN(1,Assumptions!$D$13+(1-Assumptions!$D$13)*(A33-1)/Assumptions!$D$14)</f>
        <v>1</v>
      </c>
      <c r="H33" s="33" t="n">
        <f aca="false">F33*Assumptions!$D$12*G33</f>
        <v>5.04</v>
      </c>
      <c r="I33" s="33" t="n">
        <f aca="false">Assumptions!$D$15*(Q32+R32+T32+U32)</f>
        <v>0.584076526991598</v>
      </c>
      <c r="J33" s="33" t="n">
        <f aca="false">H33+I33</f>
        <v>5.6240765269916</v>
      </c>
      <c r="K33" s="33" t="n">
        <f aca="false">J33*Assumptions!$D$18</f>
        <v>0</v>
      </c>
      <c r="L33" s="33" t="n">
        <f aca="false">(J33-K33)*Assumptions!$D$17</f>
        <v>3.93685356889412</v>
      </c>
      <c r="M33" s="33" t="n">
        <f aca="false">J33-K33-L33</f>
        <v>1.68722295809748</v>
      </c>
      <c r="N33" s="33" t="n">
        <f aca="false">L33*Assumptions!$D$19</f>
        <v>0.393685356889412</v>
      </c>
      <c r="O33" s="33" t="n">
        <f aca="false">L33-N33</f>
        <v>3.54316821200471</v>
      </c>
      <c r="P33" s="33" t="n">
        <f aca="false">O21*(1-Assumptions!$D$20)^12</f>
        <v>2.42789173764866</v>
      </c>
      <c r="Q33" s="33" t="n">
        <f aca="false">Q32*(1-Assumptions!$D$20)+O33-P33</f>
        <v>35.2747524019131</v>
      </c>
      <c r="R33" s="33" t="n">
        <f aca="false">R32*(1-Assumptions!$D$22)+P33*(1-Assumptions!$D$21)</f>
        <v>19.1288161299816</v>
      </c>
      <c r="S33" s="33" t="n">
        <f aca="false">Q33+R33</f>
        <v>54.4035685318947</v>
      </c>
      <c r="T33" s="33" t="n">
        <f aca="false">T32*(1-Assumptions!$D$24)+M33*Assumptions!$D$23</f>
        <v>6.32525326155846</v>
      </c>
      <c r="U33" s="33" t="n">
        <f aca="false">U32*(1-Assumptions!$D$25)+K33</f>
        <v>0</v>
      </c>
      <c r="V33" s="33" t="n">
        <f aca="false">V32+M33</f>
        <v>33.7429722560271</v>
      </c>
      <c r="W33" s="33" t="n">
        <f aca="false">N33+Q32*Assumptions!$D$20+P33*Assumptions!$D$21+R32*Assumptions!$D$22+T32*Assumptions!$D$24+U32*Assumptions!$D$25</f>
        <v>2.12185136202999</v>
      </c>
      <c r="X33" s="33" t="n">
        <f aca="false">IF(A33&lt;Assumptions!$D$34,0,Assumptions!$D$36*MIN(1,(A33-Assumptions!$D$34+1)/Assumptions!$D$35))*(S33+T33)</f>
        <v>12.1457643586906</v>
      </c>
      <c r="Y33" s="31" t="n">
        <f aca="false">IF(Y32&gt;0,Y32,IF(AND(A33&gt;=Assumptions!$D$41,Q32+R32+T32&gt;=Assumptions!$D$40),A33,0))</f>
        <v>13</v>
      </c>
      <c r="Z33" s="33" t="n">
        <f aca="false">IF(Y33&gt;0,Assumptions!$D$42*MIN(1,(A33-Y33+1)/Assumptions!$D$43),0)*(S33+T33)</f>
        <v>18.2186465380359</v>
      </c>
      <c r="AA33" s="35" t="n">
        <f aca="false">(1+Assumptions!$D$32)^(C33-1)</f>
        <v>1.0609</v>
      </c>
      <c r="AB33" s="36" t="n">
        <f aca="false">O33*Assumptions!$D$27*AA33</f>
        <v>372.135768455464</v>
      </c>
      <c r="AC33" s="36" t="n">
        <f aca="false">(Q32+R32)*Assumptions!$D$28*AA33</f>
        <v>5494.53104459008</v>
      </c>
      <c r="AD33" s="36" t="n">
        <f aca="false">M33*Assumptions!$D$29*AA33</f>
        <v>893.197443286562</v>
      </c>
      <c r="AE33" s="36" t="n">
        <f aca="false">T32*Assumptions!$D$30*AA33</f>
        <v>510.684848178829</v>
      </c>
      <c r="AF33" s="36" t="n">
        <f aca="false">U32*Assumptions!$D$31*AA33</f>
        <v>0</v>
      </c>
      <c r="AG33" s="36" t="n">
        <f aca="false">X33*Assumptions!$D$37*Assumptions!$D$38</f>
        <v>850.203505108344</v>
      </c>
      <c r="AH33" s="36" t="n">
        <f aca="false">Z33*Assumptions!$D$44*Assumptions!$D$45</f>
        <v>546.559396141078</v>
      </c>
      <c r="AI33" s="36" t="n">
        <f aca="false">SUM(AB33:AH33)</f>
        <v>8667.31200576035</v>
      </c>
      <c r="AJ33" s="36" t="n">
        <f aca="false">(S33*Assumptions!$D$28+T33*Assumptions!$D$30+U33*Assumptions!$D$31)*AA33+AG33+AH33</f>
        <v>7640.84717457244</v>
      </c>
      <c r="AK33" s="36" t="n">
        <f aca="false">(AI33-AH33)*Assumptions!$D$49</f>
        <v>308.588599165532</v>
      </c>
      <c r="AL33" s="36" t="n">
        <f aca="false">(AC33+AE33+AF33)*Assumptions!$D$50</f>
        <v>42.0365112493823</v>
      </c>
      <c r="AM33" s="36" t="n">
        <f aca="false">S33*Assumptions!$D$51+M33*Assumptions!$D$52</f>
        <v>93.3128050363305</v>
      </c>
      <c r="AN33" s="36" t="n">
        <f aca="false">Assumptions!$D$53+Assumptions!$D$54*(S33+T33+U33)</f>
        <v>332.186465380359</v>
      </c>
      <c r="AO33" s="36" t="n">
        <f aca="false">IF(C33&gt;=2,Assumptions!$D$55,0)</f>
        <v>100</v>
      </c>
      <c r="AP33" s="33" t="n">
        <f aca="false">E33*Assumptions!$D$60/60+F33*Assumptions!$D$61+J33*Assumptions!$D$62+(S33+T33)*Assumptions!$D$63+X33*Assumptions!$D$64+Z33*Assumptions!$D$65+U33*Assumptions!$D$66+Assumptions!$D$67*52/12</f>
        <v>179.291811737363</v>
      </c>
      <c r="AQ33" s="33" t="n">
        <f aca="false">IF(BC32=1,Assumptions!$D$69,Assumptions!$D$68)*52/12</f>
        <v>108.333333333333</v>
      </c>
      <c r="AR33" s="33" t="n">
        <f aca="false">MAX(0,AP33-AQ33)</f>
        <v>70.9584784040292</v>
      </c>
      <c r="AS33" s="36" t="n">
        <f aca="false">AR33*Assumptions!$D$70*Assumptions!$D$71</f>
        <v>798.282882045328</v>
      </c>
      <c r="AT33" s="36" t="n">
        <f aca="false">Assumptions!$D$56/12</f>
        <v>75</v>
      </c>
      <c r="AU33" s="36" t="n">
        <f aca="false">IF(A33=1,Assumptions!$D$57,0)+Assumptions!$D$58</f>
        <v>45</v>
      </c>
      <c r="AV33" s="36" t="n">
        <f aca="false">IF(AND(Y33&gt;0,Y33=A33),Assumptions!$D$46,0)+IF(Y33&gt;0,Assumptions!$D$47,0)</f>
        <v>50</v>
      </c>
      <c r="AW33" s="36" t="n">
        <f aca="false">AK33+AL33+AM33+AN33+AO33+AS33+AT33+AU33+AV33</f>
        <v>1844.40726287693</v>
      </c>
      <c r="AX33" s="36" t="n">
        <f aca="false">AI33-AW33</f>
        <v>6822.90474288342</v>
      </c>
      <c r="AY33" s="36" t="n">
        <f aca="false">MAX(0,AX33)*Assumptions!$D$73</f>
        <v>1910.41332800736</v>
      </c>
      <c r="AZ33" s="36" t="n">
        <f aca="false">AX33-AY33</f>
        <v>4912.49141487606</v>
      </c>
      <c r="BA33" s="36" t="n">
        <f aca="false">BA32+AZ33</f>
        <v>66019.4943585537</v>
      </c>
      <c r="BB33" s="31" t="n">
        <f aca="false">IF(AZ33&gt;=Assumptions!$D$74/12,BB32+1,0)</f>
        <v>0</v>
      </c>
      <c r="BC33" s="31" t="n">
        <f aca="false">IF(OR(BC32=1,BB33&gt;=3),1,0)</f>
        <v>0</v>
      </c>
      <c r="BD33" s="31" t="n">
        <f aca="false">IF(AZ33&gt;=Assumptions!$D$75/12,BD32+1,0)</f>
        <v>0</v>
      </c>
      <c r="BE33" s="33" t="n">
        <f aca="false">AP33*12/52</f>
        <v>41.3750334778529</v>
      </c>
      <c r="BF33" s="33" t="n">
        <f aca="false">AR33*12/52</f>
        <v>16.3750334778529</v>
      </c>
      <c r="BG33" s="31" t="n">
        <f aca="false">IF(AX33&gt;0,A33,999)</f>
        <v>29</v>
      </c>
      <c r="BH33" s="31" t="n">
        <f aca="false">IF(BB33&gt;=3,A33,999)</f>
        <v>999</v>
      </c>
      <c r="BI33" s="31" t="n">
        <f aca="false">IF(BD33&gt;=3,A33,999)</f>
        <v>999</v>
      </c>
    </row>
    <row r="34" customFormat="false" ht="15" hidden="false" customHeight="false" outlineLevel="0" collapsed="false">
      <c r="A34" s="31" t="n">
        <v>30</v>
      </c>
      <c r="B34" s="32" t="n">
        <f aca="false">DATE(2026,10+A34,1)</f>
        <v>47209</v>
      </c>
      <c r="C34" s="31" t="n">
        <f aca="false">INT((A34-1)/12)+1</f>
        <v>3</v>
      </c>
      <c r="D34" s="31" t="n">
        <f aca="false">IF(C34=1,Assumptions!$D$7,IF(C34=2,Assumptions!$D$8,Assumptions!$D$9))</f>
        <v>25</v>
      </c>
      <c r="E34" s="31" t="n">
        <f aca="false">D34*Assumptions!$D$10</f>
        <v>525</v>
      </c>
      <c r="F34" s="33" t="n">
        <f aca="false">E34*Assumptions!$D$11</f>
        <v>42</v>
      </c>
      <c r="G34" s="34" t="n">
        <f aca="false">MIN(1,Assumptions!$D$13+(1-Assumptions!$D$13)*(A34-1)/Assumptions!$D$14)</f>
        <v>1</v>
      </c>
      <c r="H34" s="33" t="n">
        <f aca="false">F34*Assumptions!$D$12*G34</f>
        <v>5.04</v>
      </c>
      <c r="I34" s="33" t="n">
        <f aca="false">Assumptions!$D$15*(Q33+R33+T33+U33)</f>
        <v>0.607288217934531</v>
      </c>
      <c r="J34" s="33" t="n">
        <f aca="false">H34+I34</f>
        <v>5.64728821793453</v>
      </c>
      <c r="K34" s="33" t="n">
        <f aca="false">J34*Assumptions!$D$18</f>
        <v>0</v>
      </c>
      <c r="L34" s="33" t="n">
        <f aca="false">(J34-K34)*Assumptions!$D$17</f>
        <v>3.95310175255417</v>
      </c>
      <c r="M34" s="33" t="n">
        <f aca="false">J34-K34-L34</f>
        <v>1.69418646538036</v>
      </c>
      <c r="N34" s="33" t="n">
        <f aca="false">L34*Assumptions!$D$19</f>
        <v>0.395310175255417</v>
      </c>
      <c r="O34" s="33" t="n">
        <f aca="false">L34-N34</f>
        <v>3.55779157729875</v>
      </c>
      <c r="P34" s="33" t="n">
        <f aca="false">O22*(1-Assumptions!$D$20)^12</f>
        <v>2.44088720083354</v>
      </c>
      <c r="Q34" s="33" t="n">
        <f aca="false">Q33*(1-Assumptions!$D$20)+O34-P34</f>
        <v>36.0389092543592</v>
      </c>
      <c r="R34" s="33" t="n">
        <f aca="false">R33*(1-Assumptions!$D$22)+P34*(1-Assumptions!$D$21)</f>
        <v>20.4120173260991</v>
      </c>
      <c r="S34" s="33" t="n">
        <f aca="false">Q34+R34</f>
        <v>56.4509265804582</v>
      </c>
      <c r="T34" s="33" t="n">
        <f aca="false">T33*(1-Assumptions!$D$24)+M34*Assumptions!$D$23</f>
        <v>6.54887280440244</v>
      </c>
      <c r="U34" s="33" t="n">
        <f aca="false">U33*(1-Assumptions!$D$25)+K34</f>
        <v>0</v>
      </c>
      <c r="V34" s="33" t="n">
        <f aca="false">V33+M34</f>
        <v>35.4371587214074</v>
      </c>
      <c r="W34" s="33" t="n">
        <f aca="false">N34+Q33*Assumptions!$D$20+P34*Assumptions!$D$21+R33*Assumptions!$D$22+T33*Assumptions!$D$24+U33*Assumptions!$D$25</f>
        <v>2.19038010076074</v>
      </c>
      <c r="X34" s="33" t="n">
        <f aca="false">IF(A34&lt;Assumptions!$D$34,0,Assumptions!$D$36*MIN(1,(A34-Assumptions!$D$34+1)/Assumptions!$D$35))*(S34+T34)</f>
        <v>12.5999598769721</v>
      </c>
      <c r="Y34" s="31" t="n">
        <f aca="false">IF(Y33&gt;0,Y33,IF(AND(A34&gt;=Assumptions!$D$41,Q33+R33+T33&gt;=Assumptions!$D$40),A34,0))</f>
        <v>13</v>
      </c>
      <c r="Z34" s="33" t="n">
        <f aca="false">IF(Y34&gt;0,Assumptions!$D$42*MIN(1,(A34-Y34+1)/Assumptions!$D$43),0)*(S34+T34)</f>
        <v>18.8999398154582</v>
      </c>
      <c r="AA34" s="35" t="n">
        <f aca="false">(1+Assumptions!$D$32)^(C34-1)</f>
        <v>1.0609</v>
      </c>
      <c r="AB34" s="36" t="n">
        <f aca="false">O34*Assumptions!$D$27*AA34</f>
        <v>373.671647351269</v>
      </c>
      <c r="AC34" s="36" t="n">
        <f aca="false">(Q33+R33)*Assumptions!$D$28*AA34</f>
        <v>5713.95783969322</v>
      </c>
      <c r="AD34" s="36" t="n">
        <f aca="false">M34*Assumptions!$D$29*AA34</f>
        <v>896.88384813989</v>
      </c>
      <c r="AE34" s="36" t="n">
        <f aca="false">T33*Assumptions!$D$30*AA34</f>
        <v>530.126433629802</v>
      </c>
      <c r="AF34" s="36" t="n">
        <f aca="false">U33*Assumptions!$D$31*AA34</f>
        <v>0</v>
      </c>
      <c r="AG34" s="36" t="n">
        <f aca="false">X34*Assumptions!$D$37*Assumptions!$D$38</f>
        <v>881.997191388049</v>
      </c>
      <c r="AH34" s="36" t="n">
        <f aca="false">Z34*Assumptions!$D$44*Assumptions!$D$45</f>
        <v>566.998194463746</v>
      </c>
      <c r="AI34" s="36" t="n">
        <f aca="false">SUM(AB34:AH34)</f>
        <v>8963.63515466597</v>
      </c>
      <c r="AJ34" s="36" t="n">
        <f aca="false">(S34*Assumptions!$D$28+T34*Assumptions!$D$30+U34*Assumptions!$D$31)*AA34+AG34+AH34</f>
        <v>7926.85363226045</v>
      </c>
      <c r="AK34" s="36" t="n">
        <f aca="false">(AI34-AH34)*Assumptions!$D$49</f>
        <v>319.072204487685</v>
      </c>
      <c r="AL34" s="36" t="n">
        <f aca="false">(AC34+AE34+AF34)*Assumptions!$D$50</f>
        <v>43.7085899132611</v>
      </c>
      <c r="AM34" s="36" t="n">
        <f aca="false">S34*Assumptions!$D$51+M34*Assumptions!$D$52</f>
        <v>95.9764552062782</v>
      </c>
      <c r="AN34" s="36" t="n">
        <f aca="false">Assumptions!$D$53+Assumptions!$D$54*(S34+T34+U34)</f>
        <v>338.999398154582</v>
      </c>
      <c r="AO34" s="36" t="n">
        <f aca="false">IF(C34&gt;=2,Assumptions!$D$55,0)</f>
        <v>100</v>
      </c>
      <c r="AP34" s="33" t="n">
        <f aca="false">E34*Assumptions!$D$60/60+F34*Assumptions!$D$61+J34*Assumptions!$D$62+(S34+T34)*Assumptions!$D$63+X34*Assumptions!$D$64+Z34*Assumptions!$D$65+U34*Assumptions!$D$66+Assumptions!$D$67*52/12</f>
        <v>183.369220343997</v>
      </c>
      <c r="AQ34" s="33" t="n">
        <f aca="false">IF(BC33=1,Assumptions!$D$69,Assumptions!$D$68)*52/12</f>
        <v>108.333333333333</v>
      </c>
      <c r="AR34" s="33" t="n">
        <f aca="false">MAX(0,AP34-AQ34)</f>
        <v>75.0358870106634</v>
      </c>
      <c r="AS34" s="36" t="n">
        <f aca="false">AR34*Assumptions!$D$70*Assumptions!$D$71</f>
        <v>844.153728869963</v>
      </c>
      <c r="AT34" s="36" t="n">
        <f aca="false">Assumptions!$D$56/12</f>
        <v>75</v>
      </c>
      <c r="AU34" s="36" t="n">
        <f aca="false">IF(A34=1,Assumptions!$D$57,0)+Assumptions!$D$58</f>
        <v>45</v>
      </c>
      <c r="AV34" s="36" t="n">
        <f aca="false">IF(AND(Y34&gt;0,Y34=A34),Assumptions!$D$46,0)+IF(Y34&gt;0,Assumptions!$D$47,0)</f>
        <v>50</v>
      </c>
      <c r="AW34" s="36" t="n">
        <f aca="false">AK34+AL34+AM34+AN34+AO34+AS34+AT34+AU34+AV34</f>
        <v>1911.91037663177</v>
      </c>
      <c r="AX34" s="36" t="n">
        <f aca="false">AI34-AW34</f>
        <v>7051.7247780342</v>
      </c>
      <c r="AY34" s="36" t="n">
        <f aca="false">MAX(0,AX34)*Assumptions!$D$73</f>
        <v>1974.48293784958</v>
      </c>
      <c r="AZ34" s="36" t="n">
        <f aca="false">AX34-AY34</f>
        <v>5077.24184018463</v>
      </c>
      <c r="BA34" s="36" t="n">
        <f aca="false">BA33+AZ34</f>
        <v>71096.7361987383</v>
      </c>
      <c r="BB34" s="31" t="n">
        <f aca="false">IF(AZ34&gt;=Assumptions!$D$74/12,BB33+1,0)</f>
        <v>0</v>
      </c>
      <c r="BC34" s="31" t="n">
        <f aca="false">IF(OR(BC33=1,BB34&gt;=3),1,0)</f>
        <v>0</v>
      </c>
      <c r="BD34" s="31" t="n">
        <f aca="false">IF(AZ34&gt;=Assumptions!$D$75/12,BD33+1,0)</f>
        <v>0</v>
      </c>
      <c r="BE34" s="33" t="n">
        <f aca="false">AP34*12/52</f>
        <v>42.3159739255377</v>
      </c>
      <c r="BF34" s="33" t="n">
        <f aca="false">AR34*12/52</f>
        <v>17.3159739255377</v>
      </c>
      <c r="BG34" s="31" t="n">
        <f aca="false">IF(AX34&gt;0,A34,999)</f>
        <v>30</v>
      </c>
      <c r="BH34" s="31" t="n">
        <f aca="false">IF(BB34&gt;=3,A34,999)</f>
        <v>999</v>
      </c>
      <c r="BI34" s="31" t="n">
        <f aca="false">IF(BD34&gt;=3,A34,999)</f>
        <v>999</v>
      </c>
    </row>
    <row r="35" customFormat="false" ht="15" hidden="false" customHeight="false" outlineLevel="0" collapsed="false">
      <c r="A35" s="31" t="n">
        <v>31</v>
      </c>
      <c r="B35" s="32" t="n">
        <f aca="false">DATE(2026,10+A35,1)</f>
        <v>47239</v>
      </c>
      <c r="C35" s="31" t="n">
        <f aca="false">INT((A35-1)/12)+1</f>
        <v>3</v>
      </c>
      <c r="D35" s="31" t="n">
        <f aca="false">IF(C35=1,Assumptions!$D$7,IF(C35=2,Assumptions!$D$8,Assumptions!$D$9))</f>
        <v>25</v>
      </c>
      <c r="E35" s="31" t="n">
        <f aca="false">D35*Assumptions!$D$10</f>
        <v>525</v>
      </c>
      <c r="F35" s="33" t="n">
        <f aca="false">E35*Assumptions!$D$11</f>
        <v>42</v>
      </c>
      <c r="G35" s="34" t="n">
        <f aca="false">MIN(1,Assumptions!$D$13+(1-Assumptions!$D$13)*(A35-1)/Assumptions!$D$14)</f>
        <v>1</v>
      </c>
      <c r="H35" s="33" t="n">
        <f aca="false">F35*Assumptions!$D$12*G35</f>
        <v>5.04</v>
      </c>
      <c r="I35" s="33" t="n">
        <f aca="false">Assumptions!$D$15*(Q34+R34+T34+U34)</f>
        <v>0.629997993848607</v>
      </c>
      <c r="J35" s="33" t="n">
        <f aca="false">H35+I35</f>
        <v>5.66999799384861</v>
      </c>
      <c r="K35" s="33" t="n">
        <f aca="false">J35*Assumptions!$D$18</f>
        <v>0</v>
      </c>
      <c r="L35" s="33" t="n">
        <f aca="false">(J35-K35)*Assumptions!$D$17</f>
        <v>3.96899859569402</v>
      </c>
      <c r="M35" s="33" t="n">
        <f aca="false">J35-K35-L35</f>
        <v>1.70099939815458</v>
      </c>
      <c r="N35" s="33" t="n">
        <f aca="false">L35*Assumptions!$D$19</f>
        <v>0.396899859569402</v>
      </c>
      <c r="O35" s="33" t="n">
        <f aca="false">L35-N35</f>
        <v>3.57209873612462</v>
      </c>
      <c r="P35" s="33" t="n">
        <f aca="false">O23*(1-Assumptions!$D$20)^12</f>
        <v>2.45348673464245</v>
      </c>
      <c r="Q35" s="33" t="n">
        <f aca="false">Q34*(1-Assumptions!$D$20)+O35-P35</f>
        <v>36.7971321632977</v>
      </c>
      <c r="R35" s="33" t="n">
        <f aca="false">R34*(1-Assumptions!$D$22)+P35*(1-Assumptions!$D$21)</f>
        <v>21.6603861073996</v>
      </c>
      <c r="S35" s="33" t="n">
        <f aca="false">Q35+R35</f>
        <v>58.4575182706973</v>
      </c>
      <c r="T35" s="33" t="n">
        <f aca="false">T34*(1-Assumptions!$D$24)+M35*Assumptions!$D$23</f>
        <v>6.7644733476507</v>
      </c>
      <c r="U35" s="33" t="n">
        <f aca="false">U34*(1-Assumptions!$D$25)+K35</f>
        <v>0</v>
      </c>
      <c r="V35" s="33" t="n">
        <f aca="false">V34+M35</f>
        <v>37.138158119562</v>
      </c>
      <c r="W35" s="33" t="n">
        <f aca="false">N35+Q34*Assumptions!$D$20+P35*Assumptions!$D$21+R34*Assumptions!$D$22+T34*Assumptions!$D$24+U34*Assumptions!$D$25</f>
        <v>2.25710618165306</v>
      </c>
      <c r="X35" s="33" t="n">
        <f aca="false">IF(A35&lt;Assumptions!$D$34,0,Assumptions!$D$36*MIN(1,(A35-Assumptions!$D$34+1)/Assumptions!$D$35))*(S35+T35)</f>
        <v>13.0443983236696</v>
      </c>
      <c r="Y35" s="31" t="n">
        <f aca="false">IF(Y34&gt;0,Y34,IF(AND(A35&gt;=Assumptions!$D$41,Q34+R34+T34&gt;=Assumptions!$D$40),A35,0))</f>
        <v>13</v>
      </c>
      <c r="Z35" s="33" t="n">
        <f aca="false">IF(Y35&gt;0,Assumptions!$D$42*MIN(1,(A35-Y35+1)/Assumptions!$D$43),0)*(S35+T35)</f>
        <v>19.5665974855044</v>
      </c>
      <c r="AA35" s="35" t="n">
        <f aca="false">(1+Assumptions!$D$32)^(C35-1)</f>
        <v>1.0609</v>
      </c>
      <c r="AB35" s="36" t="n">
        <f aca="false">O35*Assumptions!$D$27*AA35</f>
        <v>375.174315366307</v>
      </c>
      <c r="AC35" s="36" t="n">
        <f aca="false">(Q34+R34)*Assumptions!$D$28*AA35</f>
        <v>5928.9900129116</v>
      </c>
      <c r="AD35" s="36" t="n">
        <f aca="false">M35*Assumptions!$D$29*AA35</f>
        <v>900.490540489596</v>
      </c>
      <c r="AE35" s="36" t="n">
        <f aca="false">T34*Assumptions!$D$30*AA35</f>
        <v>548.868233497053</v>
      </c>
      <c r="AF35" s="36" t="n">
        <f aca="false">U34*Assumptions!$D$31*AA35</f>
        <v>0</v>
      </c>
      <c r="AG35" s="36" t="n">
        <f aca="false">X35*Assumptions!$D$37*Assumptions!$D$38</f>
        <v>913.107882656872</v>
      </c>
      <c r="AH35" s="36" t="n">
        <f aca="false">Z35*Assumptions!$D$44*Assumptions!$D$45</f>
        <v>586.997924565132</v>
      </c>
      <c r="AI35" s="36" t="n">
        <f aca="false">SUM(AB35:AH35)</f>
        <v>9253.62890948656</v>
      </c>
      <c r="AJ35" s="36" t="n">
        <f aca="false">(S35*Assumptions!$D$28+T35*Assumptions!$D$30+U35*Assumptions!$D$31)*AA35+AG35+AH35</f>
        <v>8206.78429161418</v>
      </c>
      <c r="AK35" s="36" t="n">
        <f aca="false">(AI35-AH35)*Assumptions!$D$49</f>
        <v>329.331977427014</v>
      </c>
      <c r="AL35" s="36" t="n">
        <f aca="false">(AC35+AE35+AF35)*Assumptions!$D$50</f>
        <v>45.3450077248606</v>
      </c>
      <c r="AM35" s="36" t="n">
        <f aca="false">S35*Assumptions!$D$51+M35*Assumptions!$D$52</f>
        <v>98.5868888106903</v>
      </c>
      <c r="AN35" s="36" t="n">
        <f aca="false">Assumptions!$D$53+Assumptions!$D$54*(S35+T35+U35)</f>
        <v>345.665974855044</v>
      </c>
      <c r="AO35" s="36" t="n">
        <f aca="false">IF(C35&gt;=2,Assumptions!$D$55,0)</f>
        <v>100</v>
      </c>
      <c r="AP35" s="33" t="n">
        <f aca="false">E35*Assumptions!$D$60/60+F35*Assumptions!$D$61+J35*Assumptions!$D$62+(S35+T35)*Assumptions!$D$63+X35*Assumptions!$D$64+Z35*Assumptions!$D$65+U35*Assumptions!$D$66+Assumptions!$D$67*52/12</f>
        <v>187.359031110265</v>
      </c>
      <c r="AQ35" s="33" t="n">
        <f aca="false">IF(BC34=1,Assumptions!$D$69,Assumptions!$D$68)*52/12</f>
        <v>108.333333333333</v>
      </c>
      <c r="AR35" s="33" t="n">
        <f aca="false">MAX(0,AP35-AQ35)</f>
        <v>79.0256977769316</v>
      </c>
      <c r="AS35" s="36" t="n">
        <f aca="false">AR35*Assumptions!$D$70*Assumptions!$D$71</f>
        <v>889.03909999048</v>
      </c>
      <c r="AT35" s="36" t="n">
        <f aca="false">Assumptions!$D$56/12</f>
        <v>75</v>
      </c>
      <c r="AU35" s="36" t="n">
        <f aca="false">IF(A35=1,Assumptions!$D$57,0)+Assumptions!$D$58</f>
        <v>45</v>
      </c>
      <c r="AV35" s="36" t="n">
        <f aca="false">IF(AND(Y35&gt;0,Y35=A35),Assumptions!$D$46,0)+IF(Y35&gt;0,Assumptions!$D$47,0)</f>
        <v>50</v>
      </c>
      <c r="AW35" s="36" t="n">
        <f aca="false">AK35+AL35+AM35+AN35+AO35+AS35+AT35+AU35+AV35</f>
        <v>1977.96894880809</v>
      </c>
      <c r="AX35" s="36" t="n">
        <f aca="false">AI35-AW35</f>
        <v>7275.65996067847</v>
      </c>
      <c r="AY35" s="36" t="n">
        <f aca="false">MAX(0,AX35)*Assumptions!$D$73</f>
        <v>2037.18478898997</v>
      </c>
      <c r="AZ35" s="36" t="n">
        <f aca="false">AX35-AY35</f>
        <v>5238.4751716885</v>
      </c>
      <c r="BA35" s="36" t="n">
        <f aca="false">BA34+AZ35</f>
        <v>76335.2113704268</v>
      </c>
      <c r="BB35" s="31" t="n">
        <f aca="false">IF(AZ35&gt;=Assumptions!$D$74/12,BB34+1,0)</f>
        <v>0</v>
      </c>
      <c r="BC35" s="31" t="n">
        <f aca="false">IF(OR(BC34=1,BB35&gt;=3),1,0)</f>
        <v>0</v>
      </c>
      <c r="BD35" s="31" t="n">
        <f aca="false">IF(AZ35&gt;=Assumptions!$D$75/12,BD34+1,0)</f>
        <v>0</v>
      </c>
      <c r="BE35" s="33" t="n">
        <f aca="false">AP35*12/52</f>
        <v>43.2366994869842</v>
      </c>
      <c r="BF35" s="33" t="n">
        <f aca="false">AR35*12/52</f>
        <v>18.2366994869842</v>
      </c>
      <c r="BG35" s="31" t="n">
        <f aca="false">IF(AX35&gt;0,A35,999)</f>
        <v>31</v>
      </c>
      <c r="BH35" s="31" t="n">
        <f aca="false">IF(BB35&gt;=3,A35,999)</f>
        <v>999</v>
      </c>
      <c r="BI35" s="31" t="n">
        <f aca="false">IF(BD35&gt;=3,A35,999)</f>
        <v>999</v>
      </c>
    </row>
    <row r="36" customFormat="false" ht="15" hidden="false" customHeight="false" outlineLevel="0" collapsed="false">
      <c r="A36" s="31" t="n">
        <v>32</v>
      </c>
      <c r="B36" s="32" t="n">
        <f aca="false">DATE(2026,10+A36,1)</f>
        <v>47270</v>
      </c>
      <c r="C36" s="31" t="n">
        <f aca="false">INT((A36-1)/12)+1</f>
        <v>3</v>
      </c>
      <c r="D36" s="31" t="n">
        <f aca="false">IF(C36=1,Assumptions!$D$7,IF(C36=2,Assumptions!$D$8,Assumptions!$D$9))</f>
        <v>25</v>
      </c>
      <c r="E36" s="31" t="n">
        <f aca="false">D36*Assumptions!$D$10</f>
        <v>525</v>
      </c>
      <c r="F36" s="33" t="n">
        <f aca="false">E36*Assumptions!$D$11</f>
        <v>42</v>
      </c>
      <c r="G36" s="34" t="n">
        <f aca="false">MIN(1,Assumptions!$D$13+(1-Assumptions!$D$13)*(A36-1)/Assumptions!$D$14)</f>
        <v>1</v>
      </c>
      <c r="H36" s="33" t="n">
        <f aca="false">F36*Assumptions!$D$12*G36</f>
        <v>5.04</v>
      </c>
      <c r="I36" s="33" t="n">
        <f aca="false">Assumptions!$D$15*(Q35+R35+T35+U35)</f>
        <v>0.65221991618348</v>
      </c>
      <c r="J36" s="33" t="n">
        <f aca="false">H36+I36</f>
        <v>5.69221991618348</v>
      </c>
      <c r="K36" s="33" t="n">
        <f aca="false">J36*Assumptions!$D$18</f>
        <v>0</v>
      </c>
      <c r="L36" s="33" t="n">
        <f aca="false">(J36-K36)*Assumptions!$D$17</f>
        <v>3.98455394132844</v>
      </c>
      <c r="M36" s="33" t="n">
        <f aca="false">J36-K36-L36</f>
        <v>1.70766597485504</v>
      </c>
      <c r="N36" s="33" t="n">
        <f aca="false">L36*Assumptions!$D$19</f>
        <v>0.398455394132844</v>
      </c>
      <c r="O36" s="33" t="n">
        <f aca="false">L36-N36</f>
        <v>3.58609854719559</v>
      </c>
      <c r="P36" s="33" t="n">
        <f aca="false">O24*(1-Assumptions!$D$20)^12</f>
        <v>2.46568031949184</v>
      </c>
      <c r="Q36" s="33" t="n">
        <f aca="false">Q35*(1-Assumptions!$D$20)+O36-P36</f>
        <v>37.5495790693685</v>
      </c>
      <c r="R36" s="33" t="n">
        <f aca="false">R35*(1-Assumptions!$D$22)+P36*(1-Assumptions!$D$21)</f>
        <v>22.874816849234</v>
      </c>
      <c r="S36" s="33" t="n">
        <f aca="false">Q36+R36</f>
        <v>60.4243959186025</v>
      </c>
      <c r="T36" s="33" t="n">
        <f aca="false">T35*(1-Assumptions!$D$24)+M36*Assumptions!$D$23</f>
        <v>6.97237183946293</v>
      </c>
      <c r="U36" s="33" t="n">
        <f aca="false">U35*(1-Assumptions!$D$25)+K36</f>
        <v>0</v>
      </c>
      <c r="V36" s="33" t="n">
        <f aca="false">V35+M36</f>
        <v>38.8458240944171</v>
      </c>
      <c r="W36" s="33" t="n">
        <f aca="false">N36+Q35*Assumptions!$D$20+P36*Assumptions!$D$21+R35*Assumptions!$D$22+T35*Assumptions!$D$24+U35*Assumptions!$D$25</f>
        <v>2.32207759406746</v>
      </c>
      <c r="X36" s="33" t="n">
        <f aca="false">IF(A36&lt;Assumptions!$D$34,0,Assumptions!$D$36*MIN(1,(A36-Assumptions!$D$34+1)/Assumptions!$D$35))*(S36+T36)</f>
        <v>13.4793535516131</v>
      </c>
      <c r="Y36" s="31" t="n">
        <f aca="false">IF(Y35&gt;0,Y35,IF(AND(A36&gt;=Assumptions!$D$41,Q35+R35+T35&gt;=Assumptions!$D$40),A36,0))</f>
        <v>13</v>
      </c>
      <c r="Z36" s="33" t="n">
        <f aca="false">IF(Y36&gt;0,Assumptions!$D$42*MIN(1,(A36-Y36+1)/Assumptions!$D$43),0)*(S36+T36)</f>
        <v>20.2190303274196</v>
      </c>
      <c r="AA36" s="35" t="n">
        <f aca="false">(1+Assumptions!$D$32)^(C36-1)</f>
        <v>1.0609</v>
      </c>
      <c r="AB36" s="36" t="n">
        <f aca="false">O36*Assumptions!$D$27*AA36</f>
        <v>376.644702923261</v>
      </c>
      <c r="AC36" s="36" t="n">
        <f aca="false">(Q35+R35)*Assumptions!$D$28*AA36</f>
        <v>6139.74053220489</v>
      </c>
      <c r="AD36" s="36" t="n">
        <f aca="false">M36*Assumptions!$D$29*AA36</f>
        <v>904.019753529135</v>
      </c>
      <c r="AE36" s="36" t="n">
        <f aca="false">T35*Assumptions!$D$30*AA36</f>
        <v>566.937952187288</v>
      </c>
      <c r="AF36" s="36" t="n">
        <f aca="false">U35*Assumptions!$D$31*AA36</f>
        <v>0</v>
      </c>
      <c r="AG36" s="36" t="n">
        <f aca="false">X36*Assumptions!$D$37*Assumptions!$D$38</f>
        <v>943.554748612917</v>
      </c>
      <c r="AH36" s="36" t="n">
        <f aca="false">Z36*Assumptions!$D$44*Assumptions!$D$45</f>
        <v>606.570909822589</v>
      </c>
      <c r="AI36" s="36" t="n">
        <f aca="false">SUM(AB36:AH36)</f>
        <v>9537.46859928008</v>
      </c>
      <c r="AJ36" s="36" t="n">
        <f aca="false">(S36*Assumptions!$D$28+T36*Assumptions!$D$30+U36*Assumptions!$D$31)*AA36+AG36+AH36</f>
        <v>8480.80773328442</v>
      </c>
      <c r="AK36" s="36" t="n">
        <f aca="false">(AI36-AH36)*Assumptions!$D$49</f>
        <v>339.374112199385</v>
      </c>
      <c r="AL36" s="36" t="n">
        <f aca="false">(AC36+AE36+AF36)*Assumptions!$D$50</f>
        <v>46.9467493907453</v>
      </c>
      <c r="AM36" s="36" t="n">
        <f aca="false">S36*Assumptions!$D$51+M36*Assumptions!$D$52</f>
        <v>101.145484521079</v>
      </c>
      <c r="AN36" s="36" t="n">
        <f aca="false">Assumptions!$D$53+Assumptions!$D$54*(S36+T36+U36)</f>
        <v>352.190303274196</v>
      </c>
      <c r="AO36" s="36" t="n">
        <f aca="false">IF(C36&gt;=2,Assumptions!$D$55,0)</f>
        <v>100</v>
      </c>
      <c r="AP36" s="33" t="n">
        <f aca="false">E36*Assumptions!$D$60/60+F36*Assumptions!$D$61+J36*Assumptions!$D$62+(S36+T36)*Assumptions!$D$63+X36*Assumptions!$D$64+Z36*Assumptions!$D$65+U36*Assumptions!$D$66+Assumptions!$D$67*52/12</f>
        <v>191.263702602933</v>
      </c>
      <c r="AQ36" s="33" t="n">
        <f aca="false">IF(BC35=1,Assumptions!$D$69,Assumptions!$D$68)*52/12</f>
        <v>108.333333333333</v>
      </c>
      <c r="AR36" s="33" t="n">
        <f aca="false">MAX(0,AP36-AQ36)</f>
        <v>82.9303692695998</v>
      </c>
      <c r="AS36" s="36" t="n">
        <f aca="false">AR36*Assumptions!$D$70*Assumptions!$D$71</f>
        <v>932.966654282998</v>
      </c>
      <c r="AT36" s="36" t="n">
        <f aca="false">Assumptions!$D$56/12</f>
        <v>75</v>
      </c>
      <c r="AU36" s="36" t="n">
        <f aca="false">IF(A36=1,Assumptions!$D$57,0)+Assumptions!$D$58</f>
        <v>45</v>
      </c>
      <c r="AV36" s="36" t="n">
        <f aca="false">IF(AND(Y36&gt;0,Y36=A36),Assumptions!$D$46,0)+IF(Y36&gt;0,Assumptions!$D$47,0)</f>
        <v>50</v>
      </c>
      <c r="AW36" s="36" t="n">
        <f aca="false">AK36+AL36+AM36+AN36+AO36+AS36+AT36+AU36+AV36</f>
        <v>2042.6233036684</v>
      </c>
      <c r="AX36" s="36" t="n">
        <f aca="false">AI36-AW36</f>
        <v>7494.84529561168</v>
      </c>
      <c r="AY36" s="36" t="n">
        <f aca="false">MAX(0,AX36)*Assumptions!$D$73</f>
        <v>2098.55668277127</v>
      </c>
      <c r="AZ36" s="36" t="n">
        <f aca="false">AX36-AY36</f>
        <v>5396.28861284041</v>
      </c>
      <c r="BA36" s="36" t="n">
        <f aca="false">BA35+AZ36</f>
        <v>81731.4999832672</v>
      </c>
      <c r="BB36" s="31" t="n">
        <f aca="false">IF(AZ36&gt;=Assumptions!$D$74/12,BB35+1,0)</f>
        <v>0</v>
      </c>
      <c r="BC36" s="31" t="n">
        <f aca="false">IF(OR(BC35=1,BB36&gt;=3),1,0)</f>
        <v>0</v>
      </c>
      <c r="BD36" s="31" t="n">
        <f aca="false">IF(AZ36&gt;=Assumptions!$D$75/12,BD35+1,0)</f>
        <v>0</v>
      </c>
      <c r="BE36" s="33" t="n">
        <f aca="false">AP36*12/52</f>
        <v>44.1377775237538</v>
      </c>
      <c r="BF36" s="33" t="n">
        <f aca="false">AR36*12/52</f>
        <v>19.1377775237538</v>
      </c>
      <c r="BG36" s="31" t="n">
        <f aca="false">IF(AX36&gt;0,A36,999)</f>
        <v>32</v>
      </c>
      <c r="BH36" s="31" t="n">
        <f aca="false">IF(BB36&gt;=3,A36,999)</f>
        <v>999</v>
      </c>
      <c r="BI36" s="31" t="n">
        <f aca="false">IF(BD36&gt;=3,A36,999)</f>
        <v>999</v>
      </c>
    </row>
    <row r="37" customFormat="false" ht="15" hidden="false" customHeight="false" outlineLevel="0" collapsed="false">
      <c r="A37" s="31" t="n">
        <v>33</v>
      </c>
      <c r="B37" s="32" t="n">
        <f aca="false">DATE(2026,10+A37,1)</f>
        <v>47300</v>
      </c>
      <c r="C37" s="31" t="n">
        <f aca="false">INT((A37-1)/12)+1</f>
        <v>3</v>
      </c>
      <c r="D37" s="31" t="n">
        <f aca="false">IF(C37=1,Assumptions!$D$7,IF(C37=2,Assumptions!$D$8,Assumptions!$D$9))</f>
        <v>25</v>
      </c>
      <c r="E37" s="31" t="n">
        <f aca="false">D37*Assumptions!$D$10</f>
        <v>525</v>
      </c>
      <c r="F37" s="33" t="n">
        <f aca="false">E37*Assumptions!$D$11</f>
        <v>42</v>
      </c>
      <c r="G37" s="34" t="n">
        <f aca="false">MIN(1,Assumptions!$D$13+(1-Assumptions!$D$13)*(A37-1)/Assumptions!$D$14)</f>
        <v>1</v>
      </c>
      <c r="H37" s="33" t="n">
        <f aca="false">F37*Assumptions!$D$12*G37</f>
        <v>5.04</v>
      </c>
      <c r="I37" s="33" t="n">
        <f aca="false">Assumptions!$D$15*(Q36+R36+T36+U36)</f>
        <v>0.673967677580655</v>
      </c>
      <c r="J37" s="33" t="n">
        <f aca="false">H37+I37</f>
        <v>5.71396767758066</v>
      </c>
      <c r="K37" s="33" t="n">
        <f aca="false">J37*Assumptions!$D$18</f>
        <v>0</v>
      </c>
      <c r="L37" s="33" t="n">
        <f aca="false">(J37-K37)*Assumptions!$D$17</f>
        <v>3.99977737430646</v>
      </c>
      <c r="M37" s="33" t="n">
        <f aca="false">J37-K37-L37</f>
        <v>1.7141903032742</v>
      </c>
      <c r="N37" s="33" t="n">
        <f aca="false">L37*Assumptions!$D$19</f>
        <v>0.399977737430646</v>
      </c>
      <c r="O37" s="33" t="n">
        <f aca="false">L37-N37</f>
        <v>3.59979963687581</v>
      </c>
      <c r="P37" s="33" t="n">
        <f aca="false">O25*(1-Assumptions!$D$20)^12</f>
        <v>2.47761537773262</v>
      </c>
      <c r="Q37" s="33" t="n">
        <f aca="false">Q36*(1-Assumptions!$D$20)+O37-P37</f>
        <v>38.296267537818</v>
      </c>
      <c r="R37" s="33" t="n">
        <f aca="false">R36*(1-Assumptions!$D$22)+P37*(1-Assumptions!$D$21)</f>
        <v>24.0562905616969</v>
      </c>
      <c r="S37" s="33" t="n">
        <f aca="false">Q37+R37</f>
        <v>62.352558099515</v>
      </c>
      <c r="T37" s="33" t="n">
        <f aca="false">T36*(1-Assumptions!$D$24)+M37*Assumptions!$D$23</f>
        <v>7.17287219766936</v>
      </c>
      <c r="U37" s="33" t="n">
        <f aca="false">U36*(1-Assumptions!$D$25)+K37</f>
        <v>0</v>
      </c>
      <c r="V37" s="33" t="n">
        <f aca="false">V36+M37</f>
        <v>40.5600143976913</v>
      </c>
      <c r="W37" s="33" t="n">
        <f aca="false">N37+Q36*Assumptions!$D$20+P37*Assumptions!$D$21+R36*Assumptions!$D$22+T36*Assumptions!$D$24+U36*Assumptions!$D$25</f>
        <v>2.38537192616988</v>
      </c>
      <c r="X37" s="33" t="n">
        <f aca="false">IF(A37&lt;Assumptions!$D$34,0,Assumptions!$D$36*MIN(1,(A37-Assumptions!$D$34+1)/Assumptions!$D$35))*(S37+T37)</f>
        <v>13.9050860594369</v>
      </c>
      <c r="Y37" s="31" t="n">
        <f aca="false">IF(Y36&gt;0,Y36,IF(AND(A37&gt;=Assumptions!$D$41,Q36+R36+T36&gt;=Assumptions!$D$40),A37,0))</f>
        <v>13</v>
      </c>
      <c r="Z37" s="33" t="n">
        <f aca="false">IF(Y37&gt;0,Assumptions!$D$42*MIN(1,(A37-Y37+1)/Assumptions!$D$43),0)*(S37+T37)</f>
        <v>20.8576290891553</v>
      </c>
      <c r="AA37" s="35" t="n">
        <f aca="false">(1+Assumptions!$D$32)^(C37-1)</f>
        <v>1.0609</v>
      </c>
      <c r="AB37" s="36" t="n">
        <f aca="false">O37*Assumptions!$D$27*AA37</f>
        <v>378.083716041393</v>
      </c>
      <c r="AC37" s="36" t="n">
        <f aca="false">(Q36+R36)*Assumptions!$D$28*AA37</f>
        <v>6346.3199213745</v>
      </c>
      <c r="AD37" s="36" t="n">
        <f aca="false">M37*Assumptions!$D$29*AA37</f>
        <v>907.473661879054</v>
      </c>
      <c r="AE37" s="36" t="n">
        <f aca="false">T36*Assumptions!$D$30*AA37</f>
        <v>584.362153474412</v>
      </c>
      <c r="AF37" s="36" t="n">
        <f aca="false">U36*Assumptions!$D$31*AA37</f>
        <v>0</v>
      </c>
      <c r="AG37" s="36" t="n">
        <f aca="false">X37*Assumptions!$D$37*Assumptions!$D$38</f>
        <v>973.35602416058</v>
      </c>
      <c r="AH37" s="36" t="n">
        <f aca="false">Z37*Assumptions!$D$44*Assumptions!$D$45</f>
        <v>625.728872674659</v>
      </c>
      <c r="AI37" s="36" t="n">
        <f aca="false">SUM(AB37:AH37)</f>
        <v>9815.3243496046</v>
      </c>
      <c r="AJ37" s="36" t="n">
        <f aca="false">(S37*Assumptions!$D$28+T37*Assumptions!$D$30+U37*Assumptions!$D$31)*AA37+AG37+AH37</f>
        <v>8749.08426577109</v>
      </c>
      <c r="AK37" s="36" t="n">
        <f aca="false">(AI37-AH37)*Assumptions!$D$49</f>
        <v>349.204628123338</v>
      </c>
      <c r="AL37" s="36" t="n">
        <f aca="false">(AC37+AE37+AF37)*Assumptions!$D$50</f>
        <v>48.5147745239424</v>
      </c>
      <c r="AM37" s="36" t="n">
        <f aca="false">S37*Assumptions!$D$51+M37*Assumptions!$D$52</f>
        <v>103.653552173507</v>
      </c>
      <c r="AN37" s="36" t="n">
        <f aca="false">Assumptions!$D$53+Assumptions!$D$54*(S37+T37+U37)</f>
        <v>358.576290891553</v>
      </c>
      <c r="AO37" s="36" t="n">
        <f aca="false">IF(C37&gt;=2,Assumptions!$D$55,0)</f>
        <v>100</v>
      </c>
      <c r="AP37" s="33" t="n">
        <f aca="false">E37*Assumptions!$D$60/60+F37*Assumptions!$D$61+J37*Assumptions!$D$62+(S37+T37)*Assumptions!$D$63+X37*Assumptions!$D$64+Z37*Assumptions!$D$65+U37*Assumptions!$D$66+Assumptions!$D$67*52/12</f>
        <v>195.085574132663</v>
      </c>
      <c r="AQ37" s="33" t="n">
        <f aca="false">IF(BC36=1,Assumptions!$D$69,Assumptions!$D$68)*52/12</f>
        <v>108.333333333333</v>
      </c>
      <c r="AR37" s="33" t="n">
        <f aca="false">MAX(0,AP37-AQ37)</f>
        <v>86.7522407993301</v>
      </c>
      <c r="AS37" s="36" t="n">
        <f aca="false">AR37*Assumptions!$D$70*Assumptions!$D$71</f>
        <v>975.962708992464</v>
      </c>
      <c r="AT37" s="36" t="n">
        <f aca="false">Assumptions!$D$56/12</f>
        <v>75</v>
      </c>
      <c r="AU37" s="36" t="n">
        <f aca="false">IF(A37=1,Assumptions!$D$57,0)+Assumptions!$D$58</f>
        <v>45</v>
      </c>
      <c r="AV37" s="36" t="n">
        <f aca="false">IF(AND(Y37&gt;0,Y37=A37),Assumptions!$D$46,0)+IF(Y37&gt;0,Assumptions!$D$47,0)</f>
        <v>50</v>
      </c>
      <c r="AW37" s="36" t="n">
        <f aca="false">AK37+AL37+AM37+AN37+AO37+AS37+AT37+AU37+AV37</f>
        <v>2105.9119547048</v>
      </c>
      <c r="AX37" s="36" t="n">
        <f aca="false">AI37-AW37</f>
        <v>7709.41239489979</v>
      </c>
      <c r="AY37" s="36" t="n">
        <f aca="false">MAX(0,AX37)*Assumptions!$D$73</f>
        <v>2158.63547057194</v>
      </c>
      <c r="AZ37" s="36" t="n">
        <f aca="false">AX37-AY37</f>
        <v>5550.77692432785</v>
      </c>
      <c r="BA37" s="36" t="n">
        <f aca="false">BA36+AZ37</f>
        <v>87282.2769075951</v>
      </c>
      <c r="BB37" s="31" t="n">
        <f aca="false">IF(AZ37&gt;=Assumptions!$D$74/12,BB36+1,0)</f>
        <v>0</v>
      </c>
      <c r="BC37" s="31" t="n">
        <f aca="false">IF(OR(BC36=1,BB37&gt;=3),1,0)</f>
        <v>0</v>
      </c>
      <c r="BD37" s="31" t="n">
        <f aca="false">IF(AZ37&gt;=Assumptions!$D$75/12,BD36+1,0)</f>
        <v>0</v>
      </c>
      <c r="BE37" s="33" t="n">
        <f aca="false">AP37*12/52</f>
        <v>45.0197478767685</v>
      </c>
      <c r="BF37" s="33" t="n">
        <f aca="false">AR37*12/52</f>
        <v>20.0197478767685</v>
      </c>
      <c r="BG37" s="31" t="n">
        <f aca="false">IF(AX37&gt;0,A37,999)</f>
        <v>33</v>
      </c>
      <c r="BH37" s="31" t="n">
        <f aca="false">IF(BB37&gt;=3,A37,999)</f>
        <v>999</v>
      </c>
      <c r="BI37" s="31" t="n">
        <f aca="false">IF(BD37&gt;=3,A37,999)</f>
        <v>999</v>
      </c>
    </row>
    <row r="38" customFormat="false" ht="15" hidden="false" customHeight="false" outlineLevel="0" collapsed="false">
      <c r="A38" s="31" t="n">
        <v>34</v>
      </c>
      <c r="B38" s="32" t="n">
        <f aca="false">DATE(2026,10+A38,1)</f>
        <v>47331</v>
      </c>
      <c r="C38" s="31" t="n">
        <f aca="false">INT((A38-1)/12)+1</f>
        <v>3</v>
      </c>
      <c r="D38" s="31" t="n">
        <f aca="false">IF(C38=1,Assumptions!$D$7,IF(C38=2,Assumptions!$D$8,Assumptions!$D$9))</f>
        <v>25</v>
      </c>
      <c r="E38" s="31" t="n">
        <f aca="false">D38*Assumptions!$D$10</f>
        <v>525</v>
      </c>
      <c r="F38" s="33" t="n">
        <f aca="false">E38*Assumptions!$D$11</f>
        <v>42</v>
      </c>
      <c r="G38" s="34" t="n">
        <f aca="false">MIN(1,Assumptions!$D$13+(1-Assumptions!$D$13)*(A38-1)/Assumptions!$D$14)</f>
        <v>1</v>
      </c>
      <c r="H38" s="33" t="n">
        <f aca="false">F38*Assumptions!$D$12*G38</f>
        <v>5.04</v>
      </c>
      <c r="I38" s="33" t="n">
        <f aca="false">Assumptions!$D$15*(Q37+R37+T37+U37)</f>
        <v>0.695254302971843</v>
      </c>
      <c r="J38" s="33" t="n">
        <f aca="false">H38+I38</f>
        <v>5.73525430297184</v>
      </c>
      <c r="K38" s="33" t="n">
        <f aca="false">J38*Assumptions!$D$18</f>
        <v>0</v>
      </c>
      <c r="L38" s="33" t="n">
        <f aca="false">(J38-K38)*Assumptions!$D$17</f>
        <v>4.01467801208029</v>
      </c>
      <c r="M38" s="33" t="n">
        <f aca="false">J38-K38-L38</f>
        <v>1.72057629089155</v>
      </c>
      <c r="N38" s="33" t="n">
        <f aca="false">L38*Assumptions!$D$19</f>
        <v>0.401467801208029</v>
      </c>
      <c r="O38" s="33" t="n">
        <f aca="false">L38-N38</f>
        <v>3.61321021087226</v>
      </c>
      <c r="P38" s="33" t="n">
        <f aca="false">O26*(1-Assumptions!$D$20)^12</f>
        <v>2.48929884353948</v>
      </c>
      <c r="Q38" s="33" t="n">
        <f aca="false">Q37*(1-Assumptions!$D$20)+O38-P38</f>
        <v>39.0372162297726</v>
      </c>
      <c r="R38" s="33" t="n">
        <f aca="false">R37*(1-Assumptions!$D$22)+P38*(1-Assumptions!$D$21)</f>
        <v>25.2057594668691</v>
      </c>
      <c r="S38" s="33" t="n">
        <f aca="false">Q38+R38</f>
        <v>64.2429756966418</v>
      </c>
      <c r="T38" s="33" t="n">
        <f aca="false">T37*(1-Assumptions!$D$24)+M38*Assumptions!$D$23</f>
        <v>7.36626583604171</v>
      </c>
      <c r="U38" s="33" t="n">
        <f aca="false">U37*(1-Assumptions!$D$25)+K38</f>
        <v>0</v>
      </c>
      <c r="V38" s="33" t="n">
        <f aca="false">V37+M38</f>
        <v>42.2805906885828</v>
      </c>
      <c r="W38" s="33" t="n">
        <f aca="false">N38+Q37*Assumptions!$D$20+P38*Assumptions!$D$21+R37*Assumptions!$D$22+T37*Assumptions!$D$24+U37*Assumptions!$D$25</f>
        <v>2.44703966384862</v>
      </c>
      <c r="X38" s="33" t="n">
        <f aca="false">IF(A38&lt;Assumptions!$D$34,0,Assumptions!$D$36*MIN(1,(A38-Assumptions!$D$34+1)/Assumptions!$D$35))*(S38+T38)</f>
        <v>14.3218483065367</v>
      </c>
      <c r="Y38" s="31" t="n">
        <f aca="false">IF(Y37&gt;0,Y37,IF(AND(A38&gt;=Assumptions!$D$41,Q37+R37+T37&gt;=Assumptions!$D$40),A38,0))</f>
        <v>13</v>
      </c>
      <c r="Z38" s="33" t="n">
        <f aca="false">IF(Y38&gt;0,Assumptions!$D$42*MIN(1,(A38-Y38+1)/Assumptions!$D$43),0)*(S38+T38)</f>
        <v>21.482772459805</v>
      </c>
      <c r="AA38" s="35" t="n">
        <f aca="false">(1+Assumptions!$D$32)^(C38-1)</f>
        <v>1.0609</v>
      </c>
      <c r="AB38" s="36" t="n">
        <f aca="false">O38*Assumptions!$D$27*AA38</f>
        <v>379.492216558724</v>
      </c>
      <c r="AC38" s="36" t="n">
        <f aca="false">(Q37+R37)*Assumptions!$D$28*AA38</f>
        <v>6548.83305988977</v>
      </c>
      <c r="AD38" s="36" t="n">
        <f aca="false">M38*Assumptions!$D$29*AA38</f>
        <v>910.854334116417</v>
      </c>
      <c r="AE38" s="36" t="n">
        <f aca="false">T37*Assumptions!$D$30*AA38</f>
        <v>601.166309046086</v>
      </c>
      <c r="AF38" s="36" t="n">
        <f aca="false">U37*Assumptions!$D$31*AA38</f>
        <v>0</v>
      </c>
      <c r="AG38" s="36" t="n">
        <f aca="false">X38*Assumptions!$D$37*Assumptions!$D$38</f>
        <v>1002.52938145757</v>
      </c>
      <c r="AH38" s="36" t="n">
        <f aca="false">Z38*Assumptions!$D$44*Assumptions!$D$45</f>
        <v>644.483173794151</v>
      </c>
      <c r="AI38" s="36" t="n">
        <f aca="false">SUM(AB38:AH38)</f>
        <v>10087.3584748627</v>
      </c>
      <c r="AJ38" s="36" t="n">
        <f aca="false">(S38*Assumptions!$D$28+T38*Assumptions!$D$30+U38*Assumptions!$D$31)*AA38+AG38+AH38</f>
        <v>9011.76931660295</v>
      </c>
      <c r="AK38" s="36" t="n">
        <f aca="false">(AI38-AH38)*Assumptions!$D$49</f>
        <v>358.829261440605</v>
      </c>
      <c r="AL38" s="36" t="n">
        <f aca="false">(AC38+AE38+AF38)*Assumptions!$D$50</f>
        <v>50.049995582551</v>
      </c>
      <c r="AM38" s="36" t="n">
        <f aca="false">S38*Assumptions!$D$51+M38*Assumptions!$D$52</f>
        <v>106.112363984175</v>
      </c>
      <c r="AN38" s="36" t="n">
        <f aca="false">Assumptions!$D$53+Assumptions!$D$54*(S38+T38+U38)</f>
        <v>364.82772459805</v>
      </c>
      <c r="AO38" s="36" t="n">
        <f aca="false">IF(C38&gt;=2,Assumptions!$D$55,0)</f>
        <v>100</v>
      </c>
      <c r="AP38" s="33" t="n">
        <f aca="false">E38*Assumptions!$D$60/60+F38*Assumptions!$D$61+J38*Assumptions!$D$62+(S38+T38)*Assumptions!$D$63+X38*Assumptions!$D$64+Z38*Assumptions!$D$65+U38*Assumptions!$D$66+Assumptions!$D$67*52/12</f>
        <v>198.826912326457</v>
      </c>
      <c r="AQ38" s="33" t="n">
        <f aca="false">IF(BC37=1,Assumptions!$D$69,Assumptions!$D$68)*52/12</f>
        <v>108.333333333333</v>
      </c>
      <c r="AR38" s="33" t="n">
        <f aca="false">MAX(0,AP38-AQ38)</f>
        <v>90.4935789931235</v>
      </c>
      <c r="AS38" s="36" t="n">
        <f aca="false">AR38*Assumptions!$D$70*Assumptions!$D$71</f>
        <v>1018.05276367264</v>
      </c>
      <c r="AT38" s="36" t="n">
        <f aca="false">Assumptions!$D$56/12</f>
        <v>75</v>
      </c>
      <c r="AU38" s="36" t="n">
        <f aca="false">IF(A38=1,Assumptions!$D$57,0)+Assumptions!$D$58</f>
        <v>45</v>
      </c>
      <c r="AV38" s="36" t="n">
        <f aca="false">IF(AND(Y38&gt;0,Y38=A38),Assumptions!$D$46,0)+IF(Y38&gt;0,Assumptions!$D$47,0)</f>
        <v>50</v>
      </c>
      <c r="AW38" s="36" t="n">
        <f aca="false">AK38+AL38+AM38+AN38+AO38+AS38+AT38+AU38+AV38</f>
        <v>2167.87210927802</v>
      </c>
      <c r="AX38" s="36" t="n">
        <f aca="false">AI38-AW38</f>
        <v>7919.48636558469</v>
      </c>
      <c r="AY38" s="36" t="n">
        <f aca="false">MAX(0,AX38)*Assumptions!$D$73</f>
        <v>2217.45618236371</v>
      </c>
      <c r="AZ38" s="36" t="n">
        <f aca="false">AX38-AY38</f>
        <v>5702.03018322098</v>
      </c>
      <c r="BA38" s="36" t="n">
        <f aca="false">BA37+AZ38</f>
        <v>92984.307090816</v>
      </c>
      <c r="BB38" s="31" t="n">
        <f aca="false">IF(AZ38&gt;=Assumptions!$D$74/12,BB37+1,0)</f>
        <v>0</v>
      </c>
      <c r="BC38" s="31" t="n">
        <f aca="false">IF(OR(BC37=1,BB38&gt;=3),1,0)</f>
        <v>0</v>
      </c>
      <c r="BD38" s="31" t="n">
        <f aca="false">IF(AZ38&gt;=Assumptions!$D$75/12,BD37+1,0)</f>
        <v>0</v>
      </c>
      <c r="BE38" s="33" t="n">
        <f aca="false">AP38*12/52</f>
        <v>45.8831336137977</v>
      </c>
      <c r="BF38" s="33" t="n">
        <f aca="false">AR38*12/52</f>
        <v>20.8831336137977</v>
      </c>
      <c r="BG38" s="31" t="n">
        <f aca="false">IF(AX38&gt;0,A38,999)</f>
        <v>34</v>
      </c>
      <c r="BH38" s="31" t="n">
        <f aca="false">IF(BB38&gt;=3,A38,999)</f>
        <v>999</v>
      </c>
      <c r="BI38" s="31" t="n">
        <f aca="false">IF(BD38&gt;=3,A38,999)</f>
        <v>999</v>
      </c>
    </row>
    <row r="39" customFormat="false" ht="15" hidden="false" customHeight="false" outlineLevel="0" collapsed="false">
      <c r="A39" s="31" t="n">
        <v>35</v>
      </c>
      <c r="B39" s="32" t="n">
        <f aca="false">DATE(2026,10+A39,1)</f>
        <v>47362</v>
      </c>
      <c r="C39" s="31" t="n">
        <f aca="false">INT((A39-1)/12)+1</f>
        <v>3</v>
      </c>
      <c r="D39" s="31" t="n">
        <f aca="false">IF(C39=1,Assumptions!$D$7,IF(C39=2,Assumptions!$D$8,Assumptions!$D$9))</f>
        <v>25</v>
      </c>
      <c r="E39" s="31" t="n">
        <f aca="false">D39*Assumptions!$D$10</f>
        <v>525</v>
      </c>
      <c r="F39" s="33" t="n">
        <f aca="false">E39*Assumptions!$D$11</f>
        <v>42</v>
      </c>
      <c r="G39" s="34" t="n">
        <f aca="false">MIN(1,Assumptions!$D$13+(1-Assumptions!$D$13)*(A39-1)/Assumptions!$D$14)</f>
        <v>1</v>
      </c>
      <c r="H39" s="33" t="n">
        <f aca="false">F39*Assumptions!$D$12*G39</f>
        <v>5.04</v>
      </c>
      <c r="I39" s="33" t="n">
        <f aca="false">Assumptions!$D$15*(Q38+R38+T38+U38)</f>
        <v>0.716092415326835</v>
      </c>
      <c r="J39" s="33" t="n">
        <f aca="false">H39+I39</f>
        <v>5.75609241532684</v>
      </c>
      <c r="K39" s="33" t="n">
        <f aca="false">J39*Assumptions!$D$18</f>
        <v>0</v>
      </c>
      <c r="L39" s="33" t="n">
        <f aca="false">(J39-K39)*Assumptions!$D$17</f>
        <v>4.02926469072878</v>
      </c>
      <c r="M39" s="33" t="n">
        <f aca="false">J39-K39-L39</f>
        <v>1.72682772459805</v>
      </c>
      <c r="N39" s="33" t="n">
        <f aca="false">L39*Assumptions!$D$19</f>
        <v>0.402926469072878</v>
      </c>
      <c r="O39" s="33" t="n">
        <f aca="false">L39-N39</f>
        <v>3.62633822165591</v>
      </c>
      <c r="P39" s="33" t="n">
        <f aca="false">O27*(1-Assumptions!$D$20)^12</f>
        <v>2.50073741650547</v>
      </c>
      <c r="Q39" s="33" t="n">
        <f aca="false">Q38*(1-Assumptions!$D$20)+O39-P39</f>
        <v>39.7724448726253</v>
      </c>
      <c r="R39" s="33" t="n">
        <f aca="false">R38*(1-Assumptions!$D$22)+P39*(1-Assumptions!$D$21)</f>
        <v>26.3241478187331</v>
      </c>
      <c r="S39" s="33" t="n">
        <f aca="false">Q39+R39</f>
        <v>66.0965926913584</v>
      </c>
      <c r="T39" s="33" t="n">
        <f aca="false">T38*(1-Assumptions!$D$24)+M39*Assumptions!$D$23</f>
        <v>7.55283219079924</v>
      </c>
      <c r="U39" s="33" t="n">
        <f aca="false">U38*(1-Assumptions!$D$25)+K39</f>
        <v>0</v>
      </c>
      <c r="V39" s="33" t="n">
        <f aca="false">V38+M39</f>
        <v>44.0074184131809</v>
      </c>
      <c r="W39" s="33" t="n">
        <f aca="false">N39+Q38*Assumptions!$D$20+P39*Assumptions!$D$21+R38*Assumptions!$D$22+T38*Assumptions!$D$24+U38*Assumptions!$D$25</f>
        <v>2.507129658634</v>
      </c>
      <c r="X39" s="33" t="n">
        <f aca="false">IF(A39&lt;Assumptions!$D$34,0,Assumptions!$D$36*MIN(1,(A39-Assumptions!$D$34+1)/Assumptions!$D$35))*(S39+T39)</f>
        <v>14.7298849764315</v>
      </c>
      <c r="Y39" s="31" t="n">
        <f aca="false">IF(Y38&gt;0,Y38,IF(AND(A39&gt;=Assumptions!$D$41,Q38+R38+T38&gt;=Assumptions!$D$40),A39,0))</f>
        <v>13</v>
      </c>
      <c r="Z39" s="33" t="n">
        <f aca="false">IF(Y39&gt;0,Assumptions!$D$42*MIN(1,(A39-Y39+1)/Assumptions!$D$43),0)*(S39+T39)</f>
        <v>22.0948274646473</v>
      </c>
      <c r="AA39" s="35" t="n">
        <f aca="false">(1+Assumptions!$D$32)^(C39-1)</f>
        <v>1.0609</v>
      </c>
      <c r="AB39" s="36" t="n">
        <f aca="false">O39*Assumptions!$D$27*AA39</f>
        <v>380.87103971612</v>
      </c>
      <c r="AC39" s="36" t="n">
        <f aca="false">(Q38+R38)*Assumptions!$D$28*AA39</f>
        <v>6747.38191874016</v>
      </c>
      <c r="AD39" s="36" t="n">
        <f aca="false">M39*Assumptions!$D$29*AA39</f>
        <v>914.16377498001</v>
      </c>
      <c r="AE39" s="36" t="n">
        <f aca="false">T38*Assumptions!$D$30*AA39</f>
        <v>617.374842611075</v>
      </c>
      <c r="AF39" s="36" t="n">
        <f aca="false">U38*Assumptions!$D$31*AA39</f>
        <v>0</v>
      </c>
      <c r="AG39" s="36" t="n">
        <f aca="false">X39*Assumptions!$D$37*Assumptions!$D$38</f>
        <v>1031.09194835021</v>
      </c>
      <c r="AH39" s="36" t="n">
        <f aca="false">Z39*Assumptions!$D$44*Assumptions!$D$45</f>
        <v>662.844823939419</v>
      </c>
      <c r="AI39" s="36" t="n">
        <f aca="false">SUM(AB39:AH39)</f>
        <v>10353.728348337</v>
      </c>
      <c r="AJ39" s="36" t="n">
        <f aca="false">(S39*Assumptions!$D$28+T39*Assumptions!$D$30+U39*Assumptions!$D$31)*AA39+AG39+AH39</f>
        <v>9269.01358975587</v>
      </c>
      <c r="AK39" s="36" t="n">
        <f aca="false">(AI39-AH39)*Assumptions!$D$49</f>
        <v>368.253573927108</v>
      </c>
      <c r="AL39" s="36" t="n">
        <f aca="false">(AC39+AE39+AF39)*Assumptions!$D$50</f>
        <v>51.5532973294586</v>
      </c>
      <c r="AM39" s="36" t="n">
        <f aca="false">S39*Assumptions!$D$51+M39*Assumptions!$D$52</f>
        <v>108.523156733169</v>
      </c>
      <c r="AN39" s="36" t="n">
        <f aca="false">Assumptions!$D$53+Assumptions!$D$54*(S39+T39+U39)</f>
        <v>370.948274646473</v>
      </c>
      <c r="AO39" s="36" t="n">
        <f aca="false">IF(C39&gt;=2,Assumptions!$D$55,0)</f>
        <v>100</v>
      </c>
      <c r="AP39" s="33" t="n">
        <f aca="false">E39*Assumptions!$D$60/60+F39*Assumptions!$D$61+J39*Assumptions!$D$62+(S39+T39)*Assumptions!$D$63+X39*Assumptions!$D$64+Z39*Assumptions!$D$65+U39*Assumptions!$D$66+Assumptions!$D$67*52/12</f>
        <v>202.489913996484</v>
      </c>
      <c r="AQ39" s="33" t="n">
        <f aca="false">IF(BC38=1,Assumptions!$D$69,Assumptions!$D$68)*52/12</f>
        <v>108.333333333333</v>
      </c>
      <c r="AR39" s="33" t="n">
        <f aca="false">MAX(0,AP39-AQ39)</f>
        <v>94.1565806631502</v>
      </c>
      <c r="AS39" s="36" t="n">
        <f aca="false">AR39*Assumptions!$D$70*Assumptions!$D$71</f>
        <v>1059.26153246044</v>
      </c>
      <c r="AT39" s="36" t="n">
        <f aca="false">Assumptions!$D$56/12</f>
        <v>75</v>
      </c>
      <c r="AU39" s="36" t="n">
        <f aca="false">IF(A39=1,Assumptions!$D$57,0)+Assumptions!$D$58</f>
        <v>45</v>
      </c>
      <c r="AV39" s="36" t="n">
        <f aca="false">IF(AND(Y39&gt;0,Y39=A39),Assumptions!$D$46,0)+IF(Y39&gt;0,Assumptions!$D$47,0)</f>
        <v>50</v>
      </c>
      <c r="AW39" s="36" t="n">
        <f aca="false">AK39+AL39+AM39+AN39+AO39+AS39+AT39+AU39+AV39</f>
        <v>2228.53983509665</v>
      </c>
      <c r="AX39" s="36" t="n">
        <f aca="false">AI39-AW39</f>
        <v>8125.18851324034</v>
      </c>
      <c r="AY39" s="36" t="n">
        <f aca="false">MAX(0,AX39)*Assumptions!$D$73</f>
        <v>2275.0527837073</v>
      </c>
      <c r="AZ39" s="36" t="n">
        <f aca="false">AX39-AY39</f>
        <v>5850.13572953305</v>
      </c>
      <c r="BA39" s="36" t="n">
        <f aca="false">BA38+AZ39</f>
        <v>98834.4428203491</v>
      </c>
      <c r="BB39" s="31" t="n">
        <f aca="false">IF(AZ39&gt;=Assumptions!$D$74/12,BB38+1,0)</f>
        <v>0</v>
      </c>
      <c r="BC39" s="31" t="n">
        <f aca="false">IF(OR(BC38=1,BB39&gt;=3),1,0)</f>
        <v>0</v>
      </c>
      <c r="BD39" s="31" t="n">
        <f aca="false">IF(AZ39&gt;=Assumptions!$D$75/12,BD38+1,0)</f>
        <v>0</v>
      </c>
      <c r="BE39" s="33" t="n">
        <f aca="false">AP39*12/52</f>
        <v>46.7284416914962</v>
      </c>
      <c r="BF39" s="33" t="n">
        <f aca="false">AR39*12/52</f>
        <v>21.7284416914962</v>
      </c>
      <c r="BG39" s="31" t="n">
        <f aca="false">IF(AX39&gt;0,A39,999)</f>
        <v>35</v>
      </c>
      <c r="BH39" s="31" t="n">
        <f aca="false">IF(BB39&gt;=3,A39,999)</f>
        <v>999</v>
      </c>
      <c r="BI39" s="31" t="n">
        <f aca="false">IF(BD39&gt;=3,A39,999)</f>
        <v>999</v>
      </c>
    </row>
    <row r="40" customFormat="false" ht="15" hidden="false" customHeight="false" outlineLevel="0" collapsed="false">
      <c r="A40" s="37" t="n">
        <v>36</v>
      </c>
      <c r="B40" s="38" t="n">
        <f aca="false">DATE(2026,10+A40,1)</f>
        <v>47392</v>
      </c>
      <c r="C40" s="37" t="n">
        <f aca="false">INT((A40-1)/12)+1</f>
        <v>3</v>
      </c>
      <c r="D40" s="37" t="n">
        <f aca="false">IF(C40=1,Assumptions!$D$7,IF(C40=2,Assumptions!$D$8,Assumptions!$D$9))</f>
        <v>25</v>
      </c>
      <c r="E40" s="37" t="n">
        <f aca="false">D40*Assumptions!$D$10</f>
        <v>525</v>
      </c>
      <c r="F40" s="39" t="n">
        <f aca="false">E40*Assumptions!$D$11</f>
        <v>42</v>
      </c>
      <c r="G40" s="40" t="n">
        <f aca="false">MIN(1,Assumptions!$D$13+(1-Assumptions!$D$13)*(A40-1)/Assumptions!$D$14)</f>
        <v>1</v>
      </c>
      <c r="H40" s="39" t="n">
        <f aca="false">F40*Assumptions!$D$12*G40</f>
        <v>5.04</v>
      </c>
      <c r="I40" s="39" t="n">
        <f aca="false">Assumptions!$D$15*(Q39+R39+T39+U39)</f>
        <v>0.736494248821577</v>
      </c>
      <c r="J40" s="39" t="n">
        <f aca="false">H40+I40</f>
        <v>5.77649424882158</v>
      </c>
      <c r="K40" s="39" t="n">
        <f aca="false">J40*Assumptions!$D$18</f>
        <v>0</v>
      </c>
      <c r="L40" s="39" t="n">
        <f aca="false">(J40-K40)*Assumptions!$D$17</f>
        <v>4.0435459741751</v>
      </c>
      <c r="M40" s="39" t="n">
        <f aca="false">J40-K40-L40</f>
        <v>1.73294827464647</v>
      </c>
      <c r="N40" s="39" t="n">
        <f aca="false">L40*Assumptions!$D$19</f>
        <v>0.40435459741751</v>
      </c>
      <c r="O40" s="39" t="n">
        <f aca="false">L40-N40</f>
        <v>3.63919137675759</v>
      </c>
      <c r="P40" s="39" t="n">
        <f aca="false">O28*(1-Assumptions!$D$20)^12</f>
        <v>2.51193757003681</v>
      </c>
      <c r="Q40" s="39" t="n">
        <f aca="false">Q39*(1-Assumptions!$D$20)+O40-P40</f>
        <v>40.5019742306199</v>
      </c>
      <c r="R40" s="39" t="n">
        <f aca="false">R39*(1-Assumptions!$D$22)+P40*(1-Assumptions!$D$21)</f>
        <v>27.4123527011069</v>
      </c>
      <c r="S40" s="39" t="n">
        <f aca="false">Q40+R40</f>
        <v>67.9143269317268</v>
      </c>
      <c r="T40" s="39" t="n">
        <f aca="false">T39*(1-Assumptions!$D$24)+M40*Assumptions!$D$23</f>
        <v>7.73283922460722</v>
      </c>
      <c r="U40" s="39" t="n">
        <f aca="false">U39*(1-Assumptions!$D$25)+K40</f>
        <v>0</v>
      </c>
      <c r="V40" s="39" t="n">
        <f aca="false">V39+M40</f>
        <v>45.7403666878273</v>
      </c>
      <c r="W40" s="39" t="n">
        <f aca="false">N40+Q39*Assumptions!$D$20+P40*Assumptions!$D$21+R39*Assumptions!$D$22+T39*Assumptions!$D$24+U39*Assumptions!$D$25</f>
        <v>2.56568918239275</v>
      </c>
      <c r="X40" s="39" t="n">
        <f aca="false">IF(A40&lt;Assumptions!$D$34,0,Assumptions!$D$36*MIN(1,(A40-Assumptions!$D$34+1)/Assumptions!$D$35))*(S40+T40)</f>
        <v>15.1294332312668</v>
      </c>
      <c r="Y40" s="37" t="n">
        <f aca="false">IF(Y39&gt;0,Y39,IF(AND(A40&gt;=Assumptions!$D$41,Q39+R39+T39&gt;=Assumptions!$D$40),A40,0))</f>
        <v>13</v>
      </c>
      <c r="Z40" s="39" t="n">
        <f aca="false">IF(Y40&gt;0,Assumptions!$D$42*MIN(1,(A40-Y40+1)/Assumptions!$D$43),0)*(S40+T40)</f>
        <v>22.6941498469002</v>
      </c>
      <c r="AA40" s="41" t="n">
        <f aca="false">(1+Assumptions!$D$32)^(C40-1)</f>
        <v>1.0609</v>
      </c>
      <c r="AB40" s="42" t="n">
        <f aca="false">O40*Assumptions!$D$27*AA40</f>
        <v>382.220995028611</v>
      </c>
      <c r="AC40" s="42" t="n">
        <f aca="false">(Q39+R39)*Assumptions!$D$28*AA40</f>
        <v>6942.06564343995</v>
      </c>
      <c r="AD40" s="42" t="n">
        <f aca="false">M40*Assumptions!$D$29*AA40</f>
        <v>917.403927461649</v>
      </c>
      <c r="AE40" s="42" t="n">
        <f aca="false">T39*Assumptions!$D$30*AA40</f>
        <v>633.011174026295</v>
      </c>
      <c r="AF40" s="42" t="n">
        <f aca="false">U39*Assumptions!$D$31*AA40</f>
        <v>0</v>
      </c>
      <c r="AG40" s="42" t="n">
        <f aca="false">X40*Assumptions!$D$37*Assumptions!$D$38</f>
        <v>1059.06032618868</v>
      </c>
      <c r="AH40" s="42" t="n">
        <f aca="false">Z40*Assumptions!$D$44*Assumptions!$D$45</f>
        <v>680.824495407006</v>
      </c>
      <c r="AI40" s="42" t="n">
        <f aca="false">SUM(AB40:AH40)</f>
        <v>10614.5865615522</v>
      </c>
      <c r="AJ40" s="42" t="n">
        <f aca="false">(S40*Assumptions!$D$28+T40*Assumptions!$D$30+U40*Assumptions!$D$31)*AA40+AG40+AH40</f>
        <v>9520.96321787818</v>
      </c>
      <c r="AK40" s="42" t="n">
        <f aca="false">(AI40-AH40)*Assumptions!$D$49</f>
        <v>377.482958513517</v>
      </c>
      <c r="AL40" s="42" t="n">
        <f aca="false">(AC40+AE40+AF40)*Assumptions!$D$50</f>
        <v>53.0255377222637</v>
      </c>
      <c r="AM40" s="42" t="n">
        <f aca="false">S40*Assumptions!$D$51+M40*Assumptions!$D$52</f>
        <v>110.887132784356</v>
      </c>
      <c r="AN40" s="42" t="n">
        <f aca="false">Assumptions!$D$53+Assumptions!$D$54*(S40+T40+U40)</f>
        <v>376.941498469002</v>
      </c>
      <c r="AO40" s="42" t="n">
        <f aca="false">IF(C40&gt;=2,Assumptions!$D$55,0)</f>
        <v>100</v>
      </c>
      <c r="AP40" s="39" t="n">
        <f aca="false">E40*Assumptions!$D$60/60+F40*Assumptions!$D$61+J40*Assumptions!$D$62+(S40+T40)*Assumptions!$D$63+X40*Assumptions!$D$64+Z40*Assumptions!$D$65+U40*Assumptions!$D$66+Assumptions!$D$67*52/12</f>
        <v>206.076708425136</v>
      </c>
      <c r="AQ40" s="39" t="n">
        <f aca="false">IF(BC39=1,Assumptions!$D$69,Assumptions!$D$68)*52/12</f>
        <v>108.333333333333</v>
      </c>
      <c r="AR40" s="39" t="n">
        <f aca="false">MAX(0,AP40-AQ40)</f>
        <v>97.7433750918026</v>
      </c>
      <c r="AS40" s="42" t="n">
        <f aca="false">AR40*Assumptions!$D$70*Assumptions!$D$71</f>
        <v>1099.61296978278</v>
      </c>
      <c r="AT40" s="42" t="n">
        <f aca="false">Assumptions!$D$56/12</f>
        <v>75</v>
      </c>
      <c r="AU40" s="42" t="n">
        <f aca="false">IF(A40=1,Assumptions!$D$57,0)+Assumptions!$D$58</f>
        <v>45</v>
      </c>
      <c r="AV40" s="42" t="n">
        <f aca="false">IF(AND(Y40&gt;0,Y40=A40),Assumptions!$D$46,0)+IF(Y40&gt;0,Assumptions!$D$47,0)</f>
        <v>50</v>
      </c>
      <c r="AW40" s="42" t="n">
        <f aca="false">AK40+AL40+AM40+AN40+AO40+AS40+AT40+AU40+AV40</f>
        <v>2287.95009727192</v>
      </c>
      <c r="AX40" s="42" t="n">
        <f aca="false">AI40-AW40</f>
        <v>8326.63646428027</v>
      </c>
      <c r="AY40" s="42" t="n">
        <f aca="false">MAX(0,AX40)*Assumptions!$D$73</f>
        <v>2331.45820999848</v>
      </c>
      <c r="AZ40" s="42" t="n">
        <f aca="false">AX40-AY40</f>
        <v>5995.17825428179</v>
      </c>
      <c r="BA40" s="42" t="n">
        <f aca="false">BA39+AZ40</f>
        <v>104829.621074631</v>
      </c>
      <c r="BB40" s="37" t="n">
        <f aca="false">IF(AZ40&gt;=Assumptions!$D$74/12,BB39+1,0)</f>
        <v>0</v>
      </c>
      <c r="BC40" s="37" t="n">
        <f aca="false">IF(OR(BC39=1,BB40&gt;=3),1,0)</f>
        <v>0</v>
      </c>
      <c r="BD40" s="37" t="n">
        <f aca="false">IF(AZ40&gt;=Assumptions!$D$75/12,BD39+1,0)</f>
        <v>0</v>
      </c>
      <c r="BE40" s="39" t="n">
        <f aca="false">AP40*12/52</f>
        <v>47.5561634827237</v>
      </c>
      <c r="BF40" s="39" t="n">
        <f aca="false">AR40*12/52</f>
        <v>22.5561634827237</v>
      </c>
      <c r="BG40" s="37" t="n">
        <f aca="false">IF(AX40&gt;0,A40,999)</f>
        <v>36</v>
      </c>
      <c r="BH40" s="37" t="n">
        <f aca="false">IF(BB40&gt;=3,A40,999)</f>
        <v>999</v>
      </c>
      <c r="BI40" s="37" t="n">
        <f aca="false">IF(BD40&gt;=3,A40,999)</f>
        <v>999</v>
      </c>
    </row>
    <row r="41" customFormat="false" ht="15" hidden="false" customHeight="false" outlineLevel="0" collapsed="false">
      <c r="A41" s="31" t="n">
        <v>37</v>
      </c>
      <c r="B41" s="32" t="n">
        <f aca="false">DATE(2026,10+A41,1)</f>
        <v>47423</v>
      </c>
      <c r="C41" s="31" t="n">
        <f aca="false">INT((A41-1)/12)+1</f>
        <v>4</v>
      </c>
      <c r="D41" s="31" t="n">
        <f aca="false">IF(C41=1,Assumptions!$D$7,IF(C41=2,Assumptions!$D$8,Assumptions!$D$9))</f>
        <v>25</v>
      </c>
      <c r="E41" s="31" t="n">
        <f aca="false">D41*Assumptions!$D$10</f>
        <v>525</v>
      </c>
      <c r="F41" s="33" t="n">
        <f aca="false">E41*Assumptions!$D$11</f>
        <v>42</v>
      </c>
      <c r="G41" s="34" t="n">
        <f aca="false">MIN(1,Assumptions!$D$13+(1-Assumptions!$D$13)*(A41-1)/Assumptions!$D$14)</f>
        <v>1</v>
      </c>
      <c r="H41" s="33" t="n">
        <f aca="false">F41*Assumptions!$D$12*G41</f>
        <v>5.04</v>
      </c>
      <c r="I41" s="33" t="n">
        <f aca="false">Assumptions!$D$15*(Q40+R40+T40+U40)</f>
        <v>0.75647166156334</v>
      </c>
      <c r="J41" s="33" t="n">
        <f aca="false">H41+I41</f>
        <v>5.79647166156334</v>
      </c>
      <c r="K41" s="33" t="n">
        <f aca="false">J41*Assumptions!$D$18</f>
        <v>0</v>
      </c>
      <c r="L41" s="33" t="n">
        <f aca="false">(J41-K41)*Assumptions!$D$17</f>
        <v>4.05753016309434</v>
      </c>
      <c r="M41" s="33" t="n">
        <f aca="false">J41-K41-L41</f>
        <v>1.738941498469</v>
      </c>
      <c r="N41" s="33" t="n">
        <f aca="false">L41*Assumptions!$D$19</f>
        <v>0.405753016309434</v>
      </c>
      <c r="O41" s="33" t="n">
        <f aca="false">L41-N41</f>
        <v>3.6517771467849</v>
      </c>
      <c r="P41" s="33" t="n">
        <f aca="false">O29*(1-Assumptions!$D$20)^12</f>
        <v>3.08579540837747</v>
      </c>
      <c r="Q41" s="33" t="n">
        <f aca="false">Q40*(1-Assumptions!$D$20)+O41-P41</f>
        <v>40.6629362267211</v>
      </c>
      <c r="R41" s="33" t="n">
        <f aca="false">R40*(1-Assumptions!$D$22)+P41*(1-Assumptions!$D$21)</f>
        <v>28.9215566832701</v>
      </c>
      <c r="S41" s="33" t="n">
        <f aca="false">Q41+R41</f>
        <v>69.5844929099912</v>
      </c>
      <c r="T41" s="33" t="n">
        <f aca="false">T40*(1-Assumptions!$D$24)+M41*Assumptions!$D$23</f>
        <v>7.9065439090406</v>
      </c>
      <c r="U41" s="33" t="n">
        <f aca="false">U40*(1-Assumptions!$D$25)+K41</f>
        <v>0</v>
      </c>
      <c r="V41" s="33" t="n">
        <f aca="false">V40+M41</f>
        <v>47.4793081862963</v>
      </c>
      <c r="W41" s="33" t="n">
        <f aca="false">N41+Q40*Assumptions!$D$20+P41*Assumptions!$D$21+R40*Assumptions!$D$22+T40*Assumptions!$D$24+U40*Assumptions!$D$25</f>
        <v>2.73534194993719</v>
      </c>
      <c r="X41" s="33" t="n">
        <f aca="false">IF(A41&lt;Assumptions!$D$34,0,Assumptions!$D$36*MIN(1,(A41-Assumptions!$D$34+1)/Assumptions!$D$35))*(S41+T41)</f>
        <v>15.4982073638064</v>
      </c>
      <c r="Y41" s="31" t="n">
        <f aca="false">IF(Y40&gt;0,Y40,IF(AND(A41&gt;=Assumptions!$D$41,Q40+R40+T40&gt;=Assumptions!$D$40),A41,0))</f>
        <v>13</v>
      </c>
      <c r="Z41" s="33" t="n">
        <f aca="false">IF(Y41&gt;0,Assumptions!$D$42*MIN(1,(A41-Y41+1)/Assumptions!$D$43),0)*(S41+T41)</f>
        <v>23.2473110457095</v>
      </c>
      <c r="AA41" s="35" t="n">
        <f aca="false">(1+Assumptions!$D$32)^(C41-1)</f>
        <v>1.092727</v>
      </c>
      <c r="AB41" s="36" t="n">
        <f aca="false">O41*Assumptions!$D$27*AA41</f>
        <v>395.049153141208</v>
      </c>
      <c r="AC41" s="36" t="n">
        <f aca="false">(Q40+R40)*Assumptions!$D$28*AA41</f>
        <v>7346.97005378737</v>
      </c>
      <c r="AD41" s="36" t="n">
        <f aca="false">M41*Assumptions!$D$29*AA41</f>
        <v>948.193975071971</v>
      </c>
      <c r="AE41" s="36" t="n">
        <f aca="false">T40*Assumptions!$D$30*AA41</f>
        <v>667.540694383603</v>
      </c>
      <c r="AF41" s="36" t="n">
        <f aca="false">U40*Assumptions!$D$31*AA41</f>
        <v>0</v>
      </c>
      <c r="AG41" s="36" t="n">
        <f aca="false">X41*Assumptions!$D$37*Assumptions!$D$38</f>
        <v>1084.87451546645</v>
      </c>
      <c r="AH41" s="36" t="n">
        <f aca="false">Z41*Assumptions!$D$44*Assumptions!$D$45</f>
        <v>697.419331371286</v>
      </c>
      <c r="AI41" s="36" t="n">
        <f aca="false">SUM(AB41:AH41)</f>
        <v>11140.0477232219</v>
      </c>
      <c r="AJ41" s="36" t="n">
        <f aca="false">(S41*Assumptions!$D$28+T41*Assumptions!$D$30+U41*Assumptions!$D$31)*AA41+AG41+AH41</f>
        <v>9992.47823754071</v>
      </c>
      <c r="AK41" s="36" t="n">
        <f aca="false">(AI41-AH41)*Assumptions!$D$49</f>
        <v>396.819878890323</v>
      </c>
      <c r="AL41" s="36" t="n">
        <f aca="false">(AC41+AE41+AF41)*Assumptions!$D$50</f>
        <v>56.1015752371968</v>
      </c>
      <c r="AM41" s="36" t="n">
        <f aca="false">S41*Assumptions!$D$51+M41*Assumptions!$D$52</f>
        <v>113.064738614524</v>
      </c>
      <c r="AN41" s="36" t="n">
        <f aca="false">Assumptions!$D$53+Assumptions!$D$54*(S41+T41+U41)</f>
        <v>382.473110457095</v>
      </c>
      <c r="AO41" s="36" t="n">
        <f aca="false">IF(C41&gt;=2,Assumptions!$D$55,0)</f>
        <v>100</v>
      </c>
      <c r="AP41" s="33" t="n">
        <f aca="false">E41*Assumptions!$D$60/60+F41*Assumptions!$D$61+J41*Assumptions!$D$62+(S41+T41)*Assumptions!$D$63+X41*Assumptions!$D$64+Z41*Assumptions!$D$65+U41*Assumptions!$D$66+Assumptions!$D$67*52/12</f>
        <v>209.389533676908</v>
      </c>
      <c r="AQ41" s="33" t="n">
        <f aca="false">IF(BC40=1,Assumptions!$D$69,Assumptions!$D$68)*52/12</f>
        <v>108.333333333333</v>
      </c>
      <c r="AR41" s="33" t="n">
        <f aca="false">MAX(0,AP41-AQ41)</f>
        <v>101.056200343575</v>
      </c>
      <c r="AS41" s="36" t="n">
        <f aca="false">AR41*Assumptions!$D$70*Assumptions!$D$71</f>
        <v>1136.88225386522</v>
      </c>
      <c r="AT41" s="36" t="n">
        <f aca="false">Assumptions!$D$56/12</f>
        <v>75</v>
      </c>
      <c r="AU41" s="36" t="n">
        <f aca="false">IF(A41=1,Assumptions!$D$57,0)+Assumptions!$D$58</f>
        <v>45</v>
      </c>
      <c r="AV41" s="36" t="n">
        <f aca="false">IF(AND(Y41&gt;0,Y41=A41),Assumptions!$D$46,0)+IF(Y41&gt;0,Assumptions!$D$47,0)</f>
        <v>50</v>
      </c>
      <c r="AW41" s="36" t="n">
        <f aca="false">AK41+AL41+AM41+AN41+AO41+AS41+AT41+AU41+AV41</f>
        <v>2355.34155706436</v>
      </c>
      <c r="AX41" s="36" t="n">
        <f aca="false">AI41-AW41</f>
        <v>8784.70616615753</v>
      </c>
      <c r="AY41" s="36" t="n">
        <f aca="false">MAX(0,AX41)*Assumptions!$D$73</f>
        <v>2459.71772652411</v>
      </c>
      <c r="AZ41" s="36" t="n">
        <f aca="false">AX41-AY41</f>
        <v>6324.98843963342</v>
      </c>
      <c r="BA41" s="36" t="n">
        <f aca="false">BA40+AZ41</f>
        <v>111154.609514264</v>
      </c>
      <c r="BB41" s="31" t="n">
        <f aca="false">IF(AZ41&gt;=Assumptions!$D$74/12,BB40+1,0)</f>
        <v>0</v>
      </c>
      <c r="BC41" s="31" t="n">
        <f aca="false">IF(OR(BC40=1,BB41&gt;=3),1,0)</f>
        <v>0</v>
      </c>
      <c r="BD41" s="31" t="n">
        <f aca="false">IF(AZ41&gt;=Assumptions!$D$75/12,BD40+1,0)</f>
        <v>0</v>
      </c>
      <c r="BE41" s="33" t="n">
        <f aca="false">AP41*12/52</f>
        <v>48.320661617748</v>
      </c>
      <c r="BF41" s="33" t="n">
        <f aca="false">AR41*12/52</f>
        <v>23.320661617748</v>
      </c>
      <c r="BG41" s="31" t="n">
        <f aca="false">IF(AX41&gt;0,A41,999)</f>
        <v>37</v>
      </c>
      <c r="BH41" s="31" t="n">
        <f aca="false">IF(BB41&gt;=3,A41,999)</f>
        <v>999</v>
      </c>
      <c r="BI41" s="31" t="n">
        <f aca="false">IF(BD41&gt;=3,A41,999)</f>
        <v>999</v>
      </c>
    </row>
    <row r="42" customFormat="false" ht="15" hidden="false" customHeight="false" outlineLevel="0" collapsed="false">
      <c r="A42" s="31" t="n">
        <v>38</v>
      </c>
      <c r="B42" s="32" t="n">
        <f aca="false">DATE(2026,10+A42,1)</f>
        <v>47453</v>
      </c>
      <c r="C42" s="31" t="n">
        <f aca="false">INT((A42-1)/12)+1</f>
        <v>4</v>
      </c>
      <c r="D42" s="31" t="n">
        <f aca="false">IF(C42=1,Assumptions!$D$7,IF(C42=2,Assumptions!$D$8,Assumptions!$D$9))</f>
        <v>25</v>
      </c>
      <c r="E42" s="31" t="n">
        <f aca="false">D42*Assumptions!$D$10</f>
        <v>525</v>
      </c>
      <c r="F42" s="33" t="n">
        <f aca="false">E42*Assumptions!$D$11</f>
        <v>42</v>
      </c>
      <c r="G42" s="34" t="n">
        <f aca="false">MIN(1,Assumptions!$D$13+(1-Assumptions!$D$13)*(A42-1)/Assumptions!$D$14)</f>
        <v>1</v>
      </c>
      <c r="H42" s="33" t="n">
        <f aca="false">F42*Assumptions!$D$12*G42</f>
        <v>5.04</v>
      </c>
      <c r="I42" s="33" t="n">
        <f aca="false">Assumptions!$D$15*(Q41+R41+T41+U41)</f>
        <v>0.774910368190318</v>
      </c>
      <c r="J42" s="33" t="n">
        <f aca="false">H42+I42</f>
        <v>5.81491036819032</v>
      </c>
      <c r="K42" s="33" t="n">
        <f aca="false">J42*Assumptions!$D$18</f>
        <v>0</v>
      </c>
      <c r="L42" s="33" t="n">
        <f aca="false">(J42-K42)*Assumptions!$D$17</f>
        <v>4.07043725773322</v>
      </c>
      <c r="M42" s="33" t="n">
        <f aca="false">J42-K42-L42</f>
        <v>1.7444731104571</v>
      </c>
      <c r="N42" s="33" t="n">
        <f aca="false">L42*Assumptions!$D$19</f>
        <v>0.407043725773322</v>
      </c>
      <c r="O42" s="33" t="n">
        <f aca="false">L42-N42</f>
        <v>3.6633935319599</v>
      </c>
      <c r="P42" s="33" t="n">
        <f aca="false">O30*(1-Assumptions!$D$20)^12</f>
        <v>3.09996142490069</v>
      </c>
      <c r="Q42" s="33" t="n">
        <f aca="false">Q41*(1-Assumptions!$D$20)+O42-P42</f>
        <v>40.8197389715131</v>
      </c>
      <c r="R42" s="33" t="n">
        <f aca="false">R41*(1-Assumptions!$D$22)+P42*(1-Assumptions!$D$21)</f>
        <v>30.3892713392762</v>
      </c>
      <c r="S42" s="33" t="n">
        <f aca="false">Q42+R42</f>
        <v>71.2090103107893</v>
      </c>
      <c r="T42" s="33" t="n">
        <f aca="false">T41*(1-Assumptions!$D$24)+M42*Assumptions!$D$23</f>
        <v>8.0740913662709</v>
      </c>
      <c r="U42" s="33" t="n">
        <f aca="false">U41*(1-Assumptions!$D$25)+K42</f>
        <v>0</v>
      </c>
      <c r="V42" s="33" t="n">
        <f aca="false">V41+M42</f>
        <v>49.2237812967534</v>
      </c>
      <c r="W42" s="33" t="n">
        <f aca="false">N42+Q41*Assumptions!$D$20+P42*Assumptions!$D$21+R41*Assumptions!$D$22+T41*Assumptions!$D$24+U41*Assumptions!$D$25</f>
        <v>2.80171433284195</v>
      </c>
      <c r="X42" s="33" t="n">
        <f aca="false">IF(A42&lt;Assumptions!$D$34,0,Assumptions!$D$36*MIN(1,(A42-Assumptions!$D$34+1)/Assumptions!$D$35))*(S42+T42)</f>
        <v>15.856620335412</v>
      </c>
      <c r="Y42" s="31" t="n">
        <f aca="false">IF(Y41&gt;0,Y41,IF(AND(A42&gt;=Assumptions!$D$41,Q41+R41+T41&gt;=Assumptions!$D$40),A42,0))</f>
        <v>13</v>
      </c>
      <c r="Z42" s="33" t="n">
        <f aca="false">IF(Y42&gt;0,Assumptions!$D$42*MIN(1,(A42-Y42+1)/Assumptions!$D$43),0)*(S42+T42)</f>
        <v>23.7849305031181</v>
      </c>
      <c r="AA42" s="35" t="n">
        <f aca="false">(1+Assumptions!$D$32)^(C42-1)</f>
        <v>1.092727</v>
      </c>
      <c r="AB42" s="36" t="n">
        <f aca="false">O42*Assumptions!$D$27*AA42</f>
        <v>396.305813375797</v>
      </c>
      <c r="AC42" s="36" t="n">
        <f aca="false">(Q41+R41)*Assumptions!$D$28*AA42</f>
        <v>7527.64856422154</v>
      </c>
      <c r="AD42" s="36" t="n">
        <f aca="false">M42*Assumptions!$D$29*AA42</f>
        <v>951.210201416655</v>
      </c>
      <c r="AE42" s="36" t="n">
        <f aca="false">T41*Assumptions!$D$30*AA42</f>
        <v>682.535826481442</v>
      </c>
      <c r="AF42" s="36" t="n">
        <f aca="false">U41*Assumptions!$D$31*AA42</f>
        <v>0</v>
      </c>
      <c r="AG42" s="36" t="n">
        <f aca="false">X42*Assumptions!$D$37*Assumptions!$D$38</f>
        <v>1109.96342347884</v>
      </c>
      <c r="AH42" s="36" t="n">
        <f aca="false">Z42*Assumptions!$D$44*Assumptions!$D$45</f>
        <v>713.547915093542</v>
      </c>
      <c r="AI42" s="36" t="n">
        <f aca="false">SUM(AB42:AH42)</f>
        <v>11381.2117440678</v>
      </c>
      <c r="AJ42" s="36" t="n">
        <f aca="false">(S42*Assumptions!$D$28+T42*Assumptions!$D$30+U42*Assumptions!$D$31)*AA42+AG42+AH42</f>
        <v>10223.8995846252</v>
      </c>
      <c r="AK42" s="36" t="n">
        <f aca="false">(AI42-AH42)*Assumptions!$D$49</f>
        <v>405.371225501023</v>
      </c>
      <c r="AL42" s="36" t="n">
        <f aca="false">(AC42+AE42+AF42)*Assumptions!$D$50</f>
        <v>57.4712907349209</v>
      </c>
      <c r="AM42" s="36" t="n">
        <f aca="false">S42*Assumptions!$D$51+M42*Assumptions!$D$52</f>
        <v>115.178359545343</v>
      </c>
      <c r="AN42" s="36" t="n">
        <f aca="false">Assumptions!$D$53+Assumptions!$D$54*(S42+T42+U42)</f>
        <v>387.849305031181</v>
      </c>
      <c r="AO42" s="36" t="n">
        <f aca="false">IF(C42&gt;=2,Assumptions!$D$55,0)</f>
        <v>100</v>
      </c>
      <c r="AP42" s="33" t="n">
        <f aca="false">E42*Assumptions!$D$60/60+F42*Assumptions!$D$61+J42*Assumptions!$D$62+(S42+T42)*Assumptions!$D$63+X42*Assumptions!$D$64+Z42*Assumptions!$D$65+U42*Assumptions!$D$66+Assumptions!$D$67*52/12</f>
        <v>212.607326213162</v>
      </c>
      <c r="AQ42" s="33" t="n">
        <f aca="false">IF(BC41=1,Assumptions!$D$69,Assumptions!$D$68)*52/12</f>
        <v>108.333333333333</v>
      </c>
      <c r="AR42" s="33" t="n">
        <f aca="false">MAX(0,AP42-AQ42)</f>
        <v>104.273992879829</v>
      </c>
      <c r="AS42" s="36" t="n">
        <f aca="false">AR42*Assumptions!$D$70*Assumptions!$D$71</f>
        <v>1173.08241989808</v>
      </c>
      <c r="AT42" s="36" t="n">
        <f aca="false">Assumptions!$D$56/12</f>
        <v>75</v>
      </c>
      <c r="AU42" s="36" t="n">
        <f aca="false">IF(A42=1,Assumptions!$D$57,0)+Assumptions!$D$58</f>
        <v>45</v>
      </c>
      <c r="AV42" s="36" t="n">
        <f aca="false">IF(AND(Y42&gt;0,Y42=A42),Assumptions!$D$46,0)+IF(Y42&gt;0,Assumptions!$D$47,0)</f>
        <v>50</v>
      </c>
      <c r="AW42" s="36" t="n">
        <f aca="false">AK42+AL42+AM42+AN42+AO42+AS42+AT42+AU42+AV42</f>
        <v>2408.95260071055</v>
      </c>
      <c r="AX42" s="36" t="n">
        <f aca="false">AI42-AW42</f>
        <v>8972.25914335727</v>
      </c>
      <c r="AY42" s="36" t="n">
        <f aca="false">MAX(0,AX42)*Assumptions!$D$73</f>
        <v>2512.23256014004</v>
      </c>
      <c r="AZ42" s="36" t="n">
        <f aca="false">AX42-AY42</f>
        <v>6460.02658321724</v>
      </c>
      <c r="BA42" s="36" t="n">
        <f aca="false">BA41+AZ42</f>
        <v>117614.636097482</v>
      </c>
      <c r="BB42" s="31" t="n">
        <f aca="false">IF(AZ42&gt;=Assumptions!$D$74/12,BB41+1,0)</f>
        <v>0</v>
      </c>
      <c r="BC42" s="31" t="n">
        <f aca="false">IF(OR(BC41=1,BB42&gt;=3),1,0)</f>
        <v>0</v>
      </c>
      <c r="BD42" s="31" t="n">
        <f aca="false">IF(AZ42&gt;=Assumptions!$D$75/12,BD41+1,0)</f>
        <v>0</v>
      </c>
      <c r="BE42" s="33" t="n">
        <f aca="false">AP42*12/52</f>
        <v>49.0632291261144</v>
      </c>
      <c r="BF42" s="33" t="n">
        <f aca="false">AR42*12/52</f>
        <v>24.0632291261144</v>
      </c>
      <c r="BG42" s="31" t="n">
        <f aca="false">IF(AX42&gt;0,A42,999)</f>
        <v>38</v>
      </c>
      <c r="BH42" s="31" t="n">
        <f aca="false">IF(BB42&gt;=3,A42,999)</f>
        <v>999</v>
      </c>
      <c r="BI42" s="31" t="n">
        <f aca="false">IF(BD42&gt;=3,A42,999)</f>
        <v>999</v>
      </c>
    </row>
    <row r="43" customFormat="false" ht="15" hidden="false" customHeight="false" outlineLevel="0" collapsed="false">
      <c r="A43" s="31" t="n">
        <v>39</v>
      </c>
      <c r="B43" s="32" t="n">
        <f aca="false">DATE(2026,10+A43,1)</f>
        <v>47484</v>
      </c>
      <c r="C43" s="31" t="n">
        <f aca="false">INT((A43-1)/12)+1</f>
        <v>4</v>
      </c>
      <c r="D43" s="31" t="n">
        <f aca="false">IF(C43=1,Assumptions!$D$7,IF(C43=2,Assumptions!$D$8,Assumptions!$D$9))</f>
        <v>25</v>
      </c>
      <c r="E43" s="31" t="n">
        <f aca="false">D43*Assumptions!$D$10</f>
        <v>525</v>
      </c>
      <c r="F43" s="33" t="n">
        <f aca="false">E43*Assumptions!$D$11</f>
        <v>42</v>
      </c>
      <c r="G43" s="34" t="n">
        <f aca="false">MIN(1,Assumptions!$D$13+(1-Assumptions!$D$13)*(A43-1)/Assumptions!$D$14)</f>
        <v>1</v>
      </c>
      <c r="H43" s="33" t="n">
        <f aca="false">F43*Assumptions!$D$12*G43</f>
        <v>5.04</v>
      </c>
      <c r="I43" s="33" t="n">
        <f aca="false">Assumptions!$D$15*(Q42+R42+T42+U42)</f>
        <v>0.792831016770602</v>
      </c>
      <c r="J43" s="33" t="n">
        <f aca="false">H43+I43</f>
        <v>5.8328310167706</v>
      </c>
      <c r="K43" s="33" t="n">
        <f aca="false">J43*Assumptions!$D$18</f>
        <v>0</v>
      </c>
      <c r="L43" s="33" t="n">
        <f aca="false">(J43-K43)*Assumptions!$D$17</f>
        <v>4.08298171173942</v>
      </c>
      <c r="M43" s="33" t="n">
        <f aca="false">J43-K43-L43</f>
        <v>1.74984930503118</v>
      </c>
      <c r="N43" s="33" t="n">
        <f aca="false">L43*Assumptions!$D$19</f>
        <v>0.408298171173942</v>
      </c>
      <c r="O43" s="33" t="n">
        <f aca="false">L43-N43</f>
        <v>3.67468354056548</v>
      </c>
      <c r="P43" s="33" t="n">
        <f aca="false">O31*(1-Assumptions!$D$20)^12</f>
        <v>3.11381350663913</v>
      </c>
      <c r="Q43" s="33" t="n">
        <f aca="false">Q42*(1-Assumptions!$D$20)+O43-P43</f>
        <v>40.9724116157243</v>
      </c>
      <c r="R43" s="33" t="n">
        <f aca="false">R42*(1-Assumptions!$D$22)+P43*(1-Assumptions!$D$21)</f>
        <v>31.8166976477128</v>
      </c>
      <c r="S43" s="33" t="n">
        <f aca="false">Q43+R43</f>
        <v>72.7891092634372</v>
      </c>
      <c r="T43" s="33" t="n">
        <f aca="false">T42*(1-Assumptions!$D$24)+M43*Assumptions!$D$23</f>
        <v>8.23571204629806</v>
      </c>
      <c r="U43" s="33" t="n">
        <f aca="false">U42*(1-Assumptions!$D$25)+K43</f>
        <v>0</v>
      </c>
      <c r="V43" s="33" t="n">
        <f aca="false">V42+M43</f>
        <v>50.9736306017846</v>
      </c>
      <c r="W43" s="33" t="n">
        <f aca="false">N43+Q42*Assumptions!$D$20+P43*Assumptions!$D$21+R42*Assumptions!$D$22+T42*Assumptions!$D$24+U42*Assumptions!$D$25</f>
        <v>2.86621687057376</v>
      </c>
      <c r="X43" s="33" t="n">
        <f aca="false">IF(A43&lt;Assumptions!$D$34,0,Assumptions!$D$36*MIN(1,(A43-Assumptions!$D$34+1)/Assumptions!$D$35))*(S43+T43)</f>
        <v>16.204964261947</v>
      </c>
      <c r="Y43" s="31" t="n">
        <f aca="false">IF(Y42&gt;0,Y42,IF(AND(A43&gt;=Assumptions!$D$41,Q42+R42+T42&gt;=Assumptions!$D$40),A43,0))</f>
        <v>13</v>
      </c>
      <c r="Z43" s="33" t="n">
        <f aca="false">IF(Y43&gt;0,Assumptions!$D$42*MIN(1,(A43-Y43+1)/Assumptions!$D$43),0)*(S43+T43)</f>
        <v>24.3074463929206</v>
      </c>
      <c r="AA43" s="35" t="n">
        <f aca="false">(1+Assumptions!$D$32)^(C43-1)</f>
        <v>1.092727</v>
      </c>
      <c r="AB43" s="36" t="n">
        <f aca="false">O43*Assumptions!$D$27*AA43</f>
        <v>397.527166201918</v>
      </c>
      <c r="AC43" s="36" t="n">
        <f aca="false">(Q42+R42)*Assumptions!$D$28*AA43</f>
        <v>7703.38881277791</v>
      </c>
      <c r="AD43" s="36" t="n">
        <f aca="false">M43*Assumptions!$D$29*AA43</f>
        <v>954.141683187865</v>
      </c>
      <c r="AE43" s="36" t="n">
        <f aca="false">T42*Assumptions!$D$30*AA43</f>
        <v>696.999433274897</v>
      </c>
      <c r="AF43" s="36" t="n">
        <f aca="false">U42*Assumptions!$D$31*AA43</f>
        <v>0</v>
      </c>
      <c r="AG43" s="36" t="n">
        <f aca="false">X43*Assumptions!$D$37*Assumptions!$D$38</f>
        <v>1134.34749833629</v>
      </c>
      <c r="AH43" s="36" t="n">
        <f aca="false">Z43*Assumptions!$D$44*Assumptions!$D$45</f>
        <v>729.223391787617</v>
      </c>
      <c r="AI43" s="36" t="n">
        <f aca="false">SUM(AB43:AH43)</f>
        <v>11615.6279855665</v>
      </c>
      <c r="AJ43" s="36" t="n">
        <f aca="false">(S43*Assumptions!$D$28+T43*Assumptions!$D$30+U43*Assumptions!$D$31)*AA43+AG43+AH43</f>
        <v>10448.8461733966</v>
      </c>
      <c r="AK43" s="36" t="n">
        <f aca="false">(AI43-AH43)*Assumptions!$D$49</f>
        <v>413.683374563598</v>
      </c>
      <c r="AL43" s="36" t="n">
        <f aca="false">(AC43+AE43+AF43)*Assumptions!$D$50</f>
        <v>58.8027177223696</v>
      </c>
      <c r="AM43" s="36" t="n">
        <f aca="false">S43*Assumptions!$D$51+M43*Assumptions!$D$52</f>
        <v>117.234126154764</v>
      </c>
      <c r="AN43" s="36" t="n">
        <f aca="false">Assumptions!$D$53+Assumptions!$D$54*(S43+T43+U43)</f>
        <v>393.074463929206</v>
      </c>
      <c r="AO43" s="36" t="n">
        <f aca="false">IF(C43&gt;=2,Assumptions!$D$55,0)</f>
        <v>100</v>
      </c>
      <c r="AP43" s="33" t="n">
        <f aca="false">E43*Assumptions!$D$60/60+F43*Assumptions!$D$61+J43*Assumptions!$D$62+(S43+T43)*Assumptions!$D$63+X43*Assumptions!$D$64+Z43*Assumptions!$D$65+U43*Assumptions!$D$66+Assumptions!$D$67*52/12</f>
        <v>215.734719858321</v>
      </c>
      <c r="AQ43" s="33" t="n">
        <f aca="false">IF(BC42=1,Assumptions!$D$69,Assumptions!$D$68)*52/12</f>
        <v>108.333333333333</v>
      </c>
      <c r="AR43" s="33" t="n">
        <f aca="false">MAX(0,AP43-AQ43)</f>
        <v>107.401386524988</v>
      </c>
      <c r="AS43" s="36" t="n">
        <f aca="false">AR43*Assumptions!$D$70*Assumptions!$D$71</f>
        <v>1208.26559840611</v>
      </c>
      <c r="AT43" s="36" t="n">
        <f aca="false">Assumptions!$D$56/12</f>
        <v>75</v>
      </c>
      <c r="AU43" s="36" t="n">
        <f aca="false">IF(A43=1,Assumptions!$D$57,0)+Assumptions!$D$58</f>
        <v>45</v>
      </c>
      <c r="AV43" s="36" t="n">
        <f aca="false">IF(AND(Y43&gt;0,Y43=A43),Assumptions!$D$46,0)+IF(Y43&gt;0,Assumptions!$D$47,0)</f>
        <v>50</v>
      </c>
      <c r="AW43" s="36" t="n">
        <f aca="false">AK43+AL43+AM43+AN43+AO43+AS43+AT43+AU43+AV43</f>
        <v>2461.06028077605</v>
      </c>
      <c r="AX43" s="36" t="n">
        <f aca="false">AI43-AW43</f>
        <v>9154.56770479045</v>
      </c>
      <c r="AY43" s="36" t="n">
        <f aca="false">MAX(0,AX43)*Assumptions!$D$73</f>
        <v>2563.27895734133</v>
      </c>
      <c r="AZ43" s="36" t="n">
        <f aca="false">AX43-AY43</f>
        <v>6591.28874744912</v>
      </c>
      <c r="BA43" s="36" t="n">
        <f aca="false">BA42+AZ43</f>
        <v>124205.924844931</v>
      </c>
      <c r="BB43" s="31" t="n">
        <f aca="false">IF(AZ43&gt;=Assumptions!$D$74/12,BB42+1,0)</f>
        <v>0</v>
      </c>
      <c r="BC43" s="31" t="n">
        <f aca="false">IF(OR(BC42=1,BB43&gt;=3),1,0)</f>
        <v>0</v>
      </c>
      <c r="BD43" s="31" t="n">
        <f aca="false">IF(AZ43&gt;=Assumptions!$D$75/12,BD42+1,0)</f>
        <v>0</v>
      </c>
      <c r="BE43" s="33" t="n">
        <f aca="false">AP43*12/52</f>
        <v>49.7849353519203</v>
      </c>
      <c r="BF43" s="33" t="n">
        <f aca="false">AR43*12/52</f>
        <v>24.7849353519203</v>
      </c>
      <c r="BG43" s="31" t="n">
        <f aca="false">IF(AX43&gt;0,A43,999)</f>
        <v>39</v>
      </c>
      <c r="BH43" s="31" t="n">
        <f aca="false">IF(BB43&gt;=3,A43,999)</f>
        <v>999</v>
      </c>
      <c r="BI43" s="31" t="n">
        <f aca="false">IF(BD43&gt;=3,A43,999)</f>
        <v>999</v>
      </c>
    </row>
    <row r="44" customFormat="false" ht="15" hidden="false" customHeight="false" outlineLevel="0" collapsed="false">
      <c r="A44" s="31" t="n">
        <v>40</v>
      </c>
      <c r="B44" s="32" t="n">
        <f aca="false">DATE(2026,10+A44,1)</f>
        <v>47515</v>
      </c>
      <c r="C44" s="31" t="n">
        <f aca="false">INT((A44-1)/12)+1</f>
        <v>4</v>
      </c>
      <c r="D44" s="31" t="n">
        <f aca="false">IF(C44=1,Assumptions!$D$7,IF(C44=2,Assumptions!$D$8,Assumptions!$D$9))</f>
        <v>25</v>
      </c>
      <c r="E44" s="31" t="n">
        <f aca="false">D44*Assumptions!$D$10</f>
        <v>525</v>
      </c>
      <c r="F44" s="33" t="n">
        <f aca="false">E44*Assumptions!$D$11</f>
        <v>42</v>
      </c>
      <c r="G44" s="34" t="n">
        <f aca="false">MIN(1,Assumptions!$D$13+(1-Assumptions!$D$13)*(A44-1)/Assumptions!$D$14)</f>
        <v>1</v>
      </c>
      <c r="H44" s="33" t="n">
        <f aca="false">F44*Assumptions!$D$12*G44</f>
        <v>5.04</v>
      </c>
      <c r="I44" s="33" t="n">
        <f aca="false">Assumptions!$D$15*(Q43+R43+T43+U43)</f>
        <v>0.810248213097352</v>
      </c>
      <c r="J44" s="33" t="n">
        <f aca="false">H44+I44</f>
        <v>5.85024821309735</v>
      </c>
      <c r="K44" s="33" t="n">
        <f aca="false">J44*Assumptions!$D$18</f>
        <v>0</v>
      </c>
      <c r="L44" s="33" t="n">
        <f aca="false">(J44-K44)*Assumptions!$D$17</f>
        <v>4.09517374916815</v>
      </c>
      <c r="M44" s="33" t="n">
        <f aca="false">J44-K44-L44</f>
        <v>1.75507446392921</v>
      </c>
      <c r="N44" s="33" t="n">
        <f aca="false">L44*Assumptions!$D$19</f>
        <v>0.409517374916815</v>
      </c>
      <c r="O44" s="33" t="n">
        <f aca="false">L44-N44</f>
        <v>3.68565637425133</v>
      </c>
      <c r="P44" s="33" t="n">
        <f aca="false">O32*(1-Assumptions!$D$20)^12</f>
        <v>3.12736042349686</v>
      </c>
      <c r="Q44" s="33" t="n">
        <f aca="false">Q43*(1-Assumptions!$D$20)+O44-P44</f>
        <v>41.1209834503215</v>
      </c>
      <c r="R44" s="33" t="n">
        <f aca="false">R43*(1-Assumptions!$D$22)+P44*(1-Assumptions!$D$21)</f>
        <v>33.2050015688404</v>
      </c>
      <c r="S44" s="33" t="n">
        <f aca="false">Q44+R44</f>
        <v>74.3259850191619</v>
      </c>
      <c r="T44" s="33" t="n">
        <f aca="false">T43*(1-Assumptions!$D$24)+M44*Assumptions!$D$23</f>
        <v>8.39162734339341</v>
      </c>
      <c r="U44" s="33" t="n">
        <f aca="false">U43*(1-Assumptions!$D$25)+K44</f>
        <v>0</v>
      </c>
      <c r="V44" s="33" t="n">
        <f aca="false">V43+M44</f>
        <v>52.7287050657138</v>
      </c>
      <c r="W44" s="33" t="n">
        <f aca="false">N44+Q43*Assumptions!$D$20+P44*Assumptions!$D$21+R43*Assumptions!$D$22+T43*Assumptions!$D$24+U43*Assumptions!$D$25</f>
        <v>2.92890503552679</v>
      </c>
      <c r="X44" s="33" t="n">
        <f aca="false">IF(A44&lt;Assumptions!$D$34,0,Assumptions!$D$36*MIN(1,(A44-Assumptions!$D$34+1)/Assumptions!$D$35))*(S44+T44)</f>
        <v>16.5435224725111</v>
      </c>
      <c r="Y44" s="31" t="n">
        <f aca="false">IF(Y43&gt;0,Y43,IF(AND(A44&gt;=Assumptions!$D$41,Q43+R43+T43&gt;=Assumptions!$D$40),A44,0))</f>
        <v>13</v>
      </c>
      <c r="Z44" s="33" t="n">
        <f aca="false">IF(Y44&gt;0,Assumptions!$D$42*MIN(1,(A44-Y44+1)/Assumptions!$D$43),0)*(S44+T44)</f>
        <v>24.8152837087666</v>
      </c>
      <c r="AA44" s="35" t="n">
        <f aca="false">(1+Assumptions!$D$32)^(C44-1)</f>
        <v>1.092727</v>
      </c>
      <c r="AB44" s="36" t="n">
        <f aca="false">O44*Assumptions!$D$27*AA44</f>
        <v>398.714207053787</v>
      </c>
      <c r="AC44" s="36" t="n">
        <f aca="false">(Q43+R43)*Assumptions!$D$28*AA44</f>
        <v>7874.32387481268</v>
      </c>
      <c r="AD44" s="36" t="n">
        <f aca="false">M44*Assumptions!$D$29*AA44</f>
        <v>956.990809619239</v>
      </c>
      <c r="AE44" s="36" t="n">
        <f aca="false">T43*Assumptions!$D$30*AA44</f>
        <v>710.951408459996</v>
      </c>
      <c r="AF44" s="36" t="n">
        <f aca="false">U43*Assumptions!$D$31*AA44</f>
        <v>0</v>
      </c>
      <c r="AG44" s="36" t="n">
        <f aca="false">X44*Assumptions!$D$37*Assumptions!$D$38</f>
        <v>1158.04657307577</v>
      </c>
      <c r="AH44" s="36" t="n">
        <f aca="false">Z44*Assumptions!$D$44*Assumptions!$D$45</f>
        <v>744.458511262998</v>
      </c>
      <c r="AI44" s="36" t="n">
        <f aca="false">SUM(AB44:AH44)</f>
        <v>11843.4853842845</v>
      </c>
      <c r="AJ44" s="36" t="n">
        <f aca="false">(S44*Assumptions!$D$28+T44*Assumptions!$D$30+U44*Assumptions!$D$31)*AA44+AG44+AH44</f>
        <v>10667.4990009032</v>
      </c>
      <c r="AK44" s="36" t="n">
        <f aca="false">(AI44-AH44)*Assumptions!$D$49</f>
        <v>421.763021174816</v>
      </c>
      <c r="AL44" s="36" t="n">
        <f aca="false">(AC44+AE44+AF44)*Assumptions!$D$50</f>
        <v>60.0969269829088</v>
      </c>
      <c r="AM44" s="36" t="n">
        <f aca="false">S44*Assumptions!$D$51+M44*Assumptions!$D$52</f>
        <v>119.23359823289</v>
      </c>
      <c r="AN44" s="36" t="n">
        <f aca="false">Assumptions!$D$53+Assumptions!$D$54*(S44+T44+U44)</f>
        <v>398.152837087666</v>
      </c>
      <c r="AO44" s="36" t="n">
        <f aca="false">IF(C44&gt;=2,Assumptions!$D$55,0)</f>
        <v>100</v>
      </c>
      <c r="AP44" s="33" t="n">
        <f aca="false">E44*Assumptions!$D$60/60+F44*Assumptions!$D$61+J44*Assumptions!$D$62+(S44+T44)*Assumptions!$D$63+X44*Assumptions!$D$64+Z44*Assumptions!$D$65+U44*Assumptions!$D$66+Assumptions!$D$67*52/12</f>
        <v>218.77425836973</v>
      </c>
      <c r="AQ44" s="33" t="n">
        <f aca="false">IF(BC43=1,Assumptions!$D$69,Assumptions!$D$68)*52/12</f>
        <v>108.333333333333</v>
      </c>
      <c r="AR44" s="33" t="n">
        <f aca="false">MAX(0,AP44-AQ44)</f>
        <v>110.440925036397</v>
      </c>
      <c r="AS44" s="36" t="n">
        <f aca="false">AR44*Assumptions!$D$70*Assumptions!$D$71</f>
        <v>1242.46040665947</v>
      </c>
      <c r="AT44" s="36" t="n">
        <f aca="false">Assumptions!$D$56/12</f>
        <v>75</v>
      </c>
      <c r="AU44" s="36" t="n">
        <f aca="false">IF(A44=1,Assumptions!$D$57,0)+Assumptions!$D$58</f>
        <v>45</v>
      </c>
      <c r="AV44" s="36" t="n">
        <f aca="false">IF(AND(Y44&gt;0,Y44=A44),Assumptions!$D$46,0)+IF(Y44&gt;0,Assumptions!$D$47,0)</f>
        <v>50</v>
      </c>
      <c r="AW44" s="36" t="n">
        <f aca="false">AK44+AL44+AM44+AN44+AO44+AS44+AT44+AU44+AV44</f>
        <v>2511.70679013775</v>
      </c>
      <c r="AX44" s="36" t="n">
        <f aca="false">AI44-AW44</f>
        <v>9331.77859414673</v>
      </c>
      <c r="AY44" s="36" t="n">
        <f aca="false">MAX(0,AX44)*Assumptions!$D$73</f>
        <v>2612.89800636108</v>
      </c>
      <c r="AZ44" s="36" t="n">
        <f aca="false">AX44-AY44</f>
        <v>6718.88058778564</v>
      </c>
      <c r="BA44" s="36" t="n">
        <f aca="false">BA43+AZ44</f>
        <v>130924.805432716</v>
      </c>
      <c r="BB44" s="31" t="n">
        <f aca="false">IF(AZ44&gt;=Assumptions!$D$74/12,BB43+1,0)</f>
        <v>0</v>
      </c>
      <c r="BC44" s="31" t="n">
        <f aca="false">IF(OR(BC43=1,BB44&gt;=3),1,0)</f>
        <v>0</v>
      </c>
      <c r="BD44" s="31" t="n">
        <f aca="false">IF(AZ44&gt;=Assumptions!$D$75/12,BD43+1,0)</f>
        <v>0</v>
      </c>
      <c r="BE44" s="33" t="n">
        <f aca="false">AP44*12/52</f>
        <v>50.4863673160916</v>
      </c>
      <c r="BF44" s="33" t="n">
        <f aca="false">AR44*12/52</f>
        <v>25.4863673160916</v>
      </c>
      <c r="BG44" s="31" t="n">
        <f aca="false">IF(AX44&gt;0,A44,999)</f>
        <v>40</v>
      </c>
      <c r="BH44" s="31" t="n">
        <f aca="false">IF(BB44&gt;=3,A44,999)</f>
        <v>999</v>
      </c>
      <c r="BI44" s="31" t="n">
        <f aca="false">IF(BD44&gt;=3,A44,999)</f>
        <v>999</v>
      </c>
    </row>
    <row r="45" customFormat="false" ht="15" hidden="false" customHeight="false" outlineLevel="0" collapsed="false">
      <c r="A45" s="31" t="n">
        <v>41</v>
      </c>
      <c r="B45" s="32" t="n">
        <f aca="false">DATE(2026,10+A45,1)</f>
        <v>47543</v>
      </c>
      <c r="C45" s="31" t="n">
        <f aca="false">INT((A45-1)/12)+1</f>
        <v>4</v>
      </c>
      <c r="D45" s="31" t="n">
        <f aca="false">IF(C45=1,Assumptions!$D$7,IF(C45=2,Assumptions!$D$8,Assumptions!$D$9))</f>
        <v>25</v>
      </c>
      <c r="E45" s="31" t="n">
        <f aca="false">D45*Assumptions!$D$10</f>
        <v>525</v>
      </c>
      <c r="F45" s="33" t="n">
        <f aca="false">E45*Assumptions!$D$11</f>
        <v>42</v>
      </c>
      <c r="G45" s="34" t="n">
        <f aca="false">MIN(1,Assumptions!$D$13+(1-Assumptions!$D$13)*(A45-1)/Assumptions!$D$14)</f>
        <v>1</v>
      </c>
      <c r="H45" s="33" t="n">
        <f aca="false">F45*Assumptions!$D$12*G45</f>
        <v>5.04</v>
      </c>
      <c r="I45" s="33" t="n">
        <f aca="false">Assumptions!$D$15*(Q44+R44+T44+U44)</f>
        <v>0.827176123625553</v>
      </c>
      <c r="J45" s="33" t="n">
        <f aca="false">H45+I45</f>
        <v>5.86717612362555</v>
      </c>
      <c r="K45" s="33" t="n">
        <f aca="false">J45*Assumptions!$D$18</f>
        <v>0</v>
      </c>
      <c r="L45" s="33" t="n">
        <f aca="false">(J45-K45)*Assumptions!$D$17</f>
        <v>4.10702328653789</v>
      </c>
      <c r="M45" s="33" t="n">
        <f aca="false">J45-K45-L45</f>
        <v>1.76015283708767</v>
      </c>
      <c r="N45" s="33" t="n">
        <f aca="false">L45*Assumptions!$D$19</f>
        <v>0.410702328653789</v>
      </c>
      <c r="O45" s="33" t="n">
        <f aca="false">L45-N45</f>
        <v>3.6963209578841</v>
      </c>
      <c r="P45" s="33" t="n">
        <f aca="false">O33*(1-Assumptions!$D$20)^12</f>
        <v>3.14061070106646</v>
      </c>
      <c r="Q45" s="33" t="n">
        <f aca="false">Q44*(1-Assumptions!$D$20)+O45-P45</f>
        <v>41.265483872636</v>
      </c>
      <c r="R45" s="33" t="n">
        <f aca="false">R44*(1-Assumptions!$D$22)+P45*(1-Assumptions!$D$21)</f>
        <v>34.5553150747841</v>
      </c>
      <c r="S45" s="33" t="n">
        <f aca="false">Q45+R45</f>
        <v>75.8207989474201</v>
      </c>
      <c r="T45" s="33" t="n">
        <f aca="false">T44*(1-Assumptions!$D$24)+M45*Assumptions!$D$23</f>
        <v>8.54204996406701</v>
      </c>
      <c r="U45" s="33" t="n">
        <f aca="false">U44*(1-Assumptions!$D$25)+K45</f>
        <v>0</v>
      </c>
      <c r="V45" s="33" t="n">
        <f aca="false">V44+M45</f>
        <v>54.4888579028015</v>
      </c>
      <c r="W45" s="33" t="n">
        <f aca="false">N45+Q44*Assumptions!$D$20+P45*Assumptions!$D$21+R44*Assumptions!$D$22+T44*Assumptions!$D$24+U44*Assumptions!$D$25</f>
        <v>2.98983258873241</v>
      </c>
      <c r="X45" s="33" t="n">
        <f aca="false">IF(A45&lt;Assumptions!$D$34,0,Assumptions!$D$36*MIN(1,(A45-Assumptions!$D$34+1)/Assumptions!$D$35))*(S45+T45)</f>
        <v>16.8725697822974</v>
      </c>
      <c r="Y45" s="31" t="n">
        <f aca="false">IF(Y44&gt;0,Y44,IF(AND(A45&gt;=Assumptions!$D$41,Q44+R44+T44&gt;=Assumptions!$D$40),A45,0))</f>
        <v>13</v>
      </c>
      <c r="Z45" s="33" t="n">
        <f aca="false">IF(Y45&gt;0,Assumptions!$D$42*MIN(1,(A45-Y45+1)/Assumptions!$D$43),0)*(S45+T45)</f>
        <v>25.3088546734461</v>
      </c>
      <c r="AA45" s="35" t="n">
        <f aca="false">(1+Assumptions!$D$32)^(C45-1)</f>
        <v>1.092727</v>
      </c>
      <c r="AB45" s="36" t="n">
        <f aca="false">O45*Assumptions!$D$27*AA45</f>
        <v>399.867901423236</v>
      </c>
      <c r="AC45" s="36" t="n">
        <f aca="false">(Q44+R44)*Assumptions!$D$28*AA45</f>
        <v>8040.58305257134</v>
      </c>
      <c r="AD45" s="36" t="n">
        <f aca="false">M45*Assumptions!$D$29*AA45</f>
        <v>959.759898076935</v>
      </c>
      <c r="AE45" s="36" t="n">
        <f aca="false">T44*Assumptions!$D$30*AA45</f>
        <v>724.410863993076</v>
      </c>
      <c r="AF45" s="36" t="n">
        <f aca="false">U44*Assumptions!$D$31*AA45</f>
        <v>0</v>
      </c>
      <c r="AG45" s="36" t="n">
        <f aca="false">X45*Assumptions!$D$37*Assumptions!$D$38</f>
        <v>1181.07988476082</v>
      </c>
      <c r="AH45" s="36" t="n">
        <f aca="false">Z45*Assumptions!$D$44*Assumptions!$D$45</f>
        <v>759.265640203384</v>
      </c>
      <c r="AI45" s="36" t="n">
        <f aca="false">SUM(AB45:AH45)</f>
        <v>12064.9672410288</v>
      </c>
      <c r="AJ45" s="36" t="n">
        <f aca="false">(S45*Assumptions!$D$28+T45*Assumptions!$D$30+U45*Assumptions!$D$31)*AA45+AG45+AH45</f>
        <v>10880.0336697903</v>
      </c>
      <c r="AK45" s="36" t="n">
        <f aca="false">(AI45-AH45)*Assumptions!$D$49</f>
        <v>429.616660831365</v>
      </c>
      <c r="AL45" s="36" t="n">
        <f aca="false">(AC45+AE45+AF45)*Assumptions!$D$50</f>
        <v>61.3549574159509</v>
      </c>
      <c r="AM45" s="36" t="n">
        <f aca="false">S45*Assumptions!$D$51+M45*Assumptions!$D$52</f>
        <v>121.17829124059</v>
      </c>
      <c r="AN45" s="36" t="n">
        <f aca="false">Assumptions!$D$53+Assumptions!$D$54*(S45+T45+U45)</f>
        <v>403.088546734461</v>
      </c>
      <c r="AO45" s="36" t="n">
        <f aca="false">IF(C45&gt;=2,Assumptions!$D$55,0)</f>
        <v>100</v>
      </c>
      <c r="AP45" s="33" t="n">
        <f aca="false">E45*Assumptions!$D$60/60+F45*Assumptions!$D$61+J45*Assumptions!$D$62+(S45+T45)*Assumptions!$D$63+X45*Assumptions!$D$64+Z45*Assumptions!$D$65+U45*Assumptions!$D$66+Assumptions!$D$67*52/12</f>
        <v>221.728409065141</v>
      </c>
      <c r="AQ45" s="33" t="n">
        <f aca="false">IF(BC44=1,Assumptions!$D$69,Assumptions!$D$68)*52/12</f>
        <v>108.333333333333</v>
      </c>
      <c r="AR45" s="33" t="n">
        <f aca="false">MAX(0,AP45-AQ45)</f>
        <v>113.395075731807</v>
      </c>
      <c r="AS45" s="36" t="n">
        <f aca="false">AR45*Assumptions!$D$70*Assumptions!$D$71</f>
        <v>1275.69460198283</v>
      </c>
      <c r="AT45" s="36" t="n">
        <f aca="false">Assumptions!$D$56/12</f>
        <v>75</v>
      </c>
      <c r="AU45" s="36" t="n">
        <f aca="false">IF(A45=1,Assumptions!$D$57,0)+Assumptions!$D$58</f>
        <v>45</v>
      </c>
      <c r="AV45" s="36" t="n">
        <f aca="false">IF(AND(Y45&gt;0,Y45=A45),Assumptions!$D$46,0)+IF(Y45&gt;0,Assumptions!$D$47,0)</f>
        <v>50</v>
      </c>
      <c r="AW45" s="36" t="n">
        <f aca="false">AK45+AL45+AM45+AN45+AO45+AS45+AT45+AU45+AV45</f>
        <v>2560.9330582052</v>
      </c>
      <c r="AX45" s="36" t="n">
        <f aca="false">AI45-AW45</f>
        <v>9504.03418282359</v>
      </c>
      <c r="AY45" s="36" t="n">
        <f aca="false">MAX(0,AX45)*Assumptions!$D$73</f>
        <v>2661.12957119061</v>
      </c>
      <c r="AZ45" s="36" t="n">
        <f aca="false">AX45-AY45</f>
        <v>6842.90461163299</v>
      </c>
      <c r="BA45" s="36" t="n">
        <f aca="false">BA44+AZ45</f>
        <v>137767.710044349</v>
      </c>
      <c r="BB45" s="31" t="n">
        <f aca="false">IF(AZ45&gt;=Assumptions!$D$74/12,BB44+1,0)</f>
        <v>0</v>
      </c>
      <c r="BC45" s="31" t="n">
        <f aca="false">IF(OR(BC44=1,BB45&gt;=3),1,0)</f>
        <v>0</v>
      </c>
      <c r="BD45" s="31" t="n">
        <f aca="false">IF(AZ45&gt;=Assumptions!$D$75/12,BD44+1,0)</f>
        <v>0</v>
      </c>
      <c r="BE45" s="33" t="n">
        <f aca="false">AP45*12/52</f>
        <v>51.1680943996479</v>
      </c>
      <c r="BF45" s="33" t="n">
        <f aca="false">AR45*12/52</f>
        <v>26.1680943996479</v>
      </c>
      <c r="BG45" s="31" t="n">
        <f aca="false">IF(AX45&gt;0,A45,999)</f>
        <v>41</v>
      </c>
      <c r="BH45" s="31" t="n">
        <f aca="false">IF(BB45&gt;=3,A45,999)</f>
        <v>999</v>
      </c>
      <c r="BI45" s="31" t="n">
        <f aca="false">IF(BD45&gt;=3,A45,999)</f>
        <v>999</v>
      </c>
    </row>
    <row r="46" customFormat="false" ht="15" hidden="false" customHeight="false" outlineLevel="0" collapsed="false">
      <c r="A46" s="31" t="n">
        <v>42</v>
      </c>
      <c r="B46" s="32" t="n">
        <f aca="false">DATE(2026,10+A46,1)</f>
        <v>47574</v>
      </c>
      <c r="C46" s="31" t="n">
        <f aca="false">INT((A46-1)/12)+1</f>
        <v>4</v>
      </c>
      <c r="D46" s="31" t="n">
        <f aca="false">IF(C46=1,Assumptions!$D$7,IF(C46=2,Assumptions!$D$8,Assumptions!$D$9))</f>
        <v>25</v>
      </c>
      <c r="E46" s="31" t="n">
        <f aca="false">D46*Assumptions!$D$10</f>
        <v>525</v>
      </c>
      <c r="F46" s="33" t="n">
        <f aca="false">E46*Assumptions!$D$11</f>
        <v>42</v>
      </c>
      <c r="G46" s="34" t="n">
        <f aca="false">MIN(1,Assumptions!$D$13+(1-Assumptions!$D$13)*(A46-1)/Assumptions!$D$14)</f>
        <v>1</v>
      </c>
      <c r="H46" s="33" t="n">
        <f aca="false">F46*Assumptions!$D$12*G46</f>
        <v>5.04</v>
      </c>
      <c r="I46" s="33" t="n">
        <f aca="false">Assumptions!$D$15*(Q45+R45+T45+U45)</f>
        <v>0.843628489114871</v>
      </c>
      <c r="J46" s="33" t="n">
        <f aca="false">H46+I46</f>
        <v>5.88362848911487</v>
      </c>
      <c r="K46" s="33" t="n">
        <f aca="false">J46*Assumptions!$D$18</f>
        <v>0</v>
      </c>
      <c r="L46" s="33" t="n">
        <f aca="false">(J46-K46)*Assumptions!$D$17</f>
        <v>4.11853994238041</v>
      </c>
      <c r="M46" s="33" t="n">
        <f aca="false">J46-K46-L46</f>
        <v>1.76508854673446</v>
      </c>
      <c r="N46" s="33" t="n">
        <f aca="false">L46*Assumptions!$D$19</f>
        <v>0.411853994238041</v>
      </c>
      <c r="O46" s="33" t="n">
        <f aca="false">L46-N46</f>
        <v>3.70668594814237</v>
      </c>
      <c r="P46" s="33" t="n">
        <f aca="false">O34*(1-Assumptions!$D$20)^12</f>
        <v>3.15357263083668</v>
      </c>
      <c r="Q46" s="33" t="n">
        <f aca="false">Q45*(1-Assumptions!$D$20)+O46-P46</f>
        <v>41.4059423512153</v>
      </c>
      <c r="R46" s="33" t="n">
        <f aca="false">R45*(1-Assumptions!$D$22)+P46*(1-Assumptions!$D$21)</f>
        <v>35.868737151836</v>
      </c>
      <c r="S46" s="33" t="n">
        <f aca="false">Q46+R46</f>
        <v>77.2746795030513</v>
      </c>
      <c r="T46" s="33" t="n">
        <f aca="false">T45*(1-Assumptions!$D$24)+M46*Assumptions!$D$23</f>
        <v>8.68718427970433</v>
      </c>
      <c r="U46" s="33" t="n">
        <f aca="false">U45*(1-Assumptions!$D$25)+K46</f>
        <v>0</v>
      </c>
      <c r="V46" s="33" t="n">
        <f aca="false">V45+M46</f>
        <v>56.2539464495359</v>
      </c>
      <c r="W46" s="33" t="n">
        <f aca="false">N46+Q45*Assumptions!$D$20+P46*Assumptions!$D$21+R45*Assumptions!$D$22+T45*Assumptions!$D$24+U45*Assumptions!$D$25</f>
        <v>3.0490516351322</v>
      </c>
      <c r="X46" s="33" t="n">
        <f aca="false">IF(A46&lt;Assumptions!$D$34,0,Assumptions!$D$36*MIN(1,(A46-Assumptions!$D$34+1)/Assumptions!$D$35))*(S46+T46)</f>
        <v>17.1923727565511</v>
      </c>
      <c r="Y46" s="31" t="n">
        <f aca="false">IF(Y45&gt;0,Y45,IF(AND(A46&gt;=Assumptions!$D$41,Q45+R45+T45&gt;=Assumptions!$D$40),A46,0))</f>
        <v>13</v>
      </c>
      <c r="Z46" s="33" t="n">
        <f aca="false">IF(Y46&gt;0,Assumptions!$D$42*MIN(1,(A46-Y46+1)/Assumptions!$D$43),0)*(S46+T46)</f>
        <v>25.7885591348267</v>
      </c>
      <c r="AA46" s="35" t="n">
        <f aca="false">(1+Assumptions!$D$32)^(C46-1)</f>
        <v>1.092727</v>
      </c>
      <c r="AB46" s="36" t="n">
        <f aca="false">O46*Assumptions!$D$27*AA46</f>
        <v>400.989185789521</v>
      </c>
      <c r="AC46" s="36" t="n">
        <f aca="false">(Q45+R45)*Assumptions!$D$28*AA46</f>
        <v>8202.29198297033</v>
      </c>
      <c r="AD46" s="36" t="n">
        <f aca="false">M46*Assumptions!$D$29*AA46</f>
        <v>962.451196291347</v>
      </c>
      <c r="AE46" s="36" t="n">
        <f aca="false">T45*Assumptions!$D$30*AA46</f>
        <v>737.396161855719</v>
      </c>
      <c r="AF46" s="36" t="n">
        <f aca="false">U45*Assumptions!$D$31*AA46</f>
        <v>0</v>
      </c>
      <c r="AG46" s="36" t="n">
        <f aca="false">X46*Assumptions!$D$37*Assumptions!$D$38</f>
        <v>1203.46609295858</v>
      </c>
      <c r="AH46" s="36" t="n">
        <f aca="false">Z46*Assumptions!$D$44*Assumptions!$D$45</f>
        <v>773.656774044801</v>
      </c>
      <c r="AI46" s="36" t="n">
        <f aca="false">SUM(AB46:AH46)</f>
        <v>12280.2513939103</v>
      </c>
      <c r="AJ46" s="36" t="n">
        <f aca="false">(S46*Assumptions!$D$28+T46*Assumptions!$D$30+U46*Assumptions!$D$31)*AA46+AG46+AH46</f>
        <v>11086.6205537234</v>
      </c>
      <c r="AK46" s="36" t="n">
        <f aca="false">(AI46-AH46)*Assumptions!$D$49</f>
        <v>437.250595554889</v>
      </c>
      <c r="AL46" s="36" t="n">
        <f aca="false">(AC46+AE46+AF46)*Assumptions!$D$50</f>
        <v>62.5778170137824</v>
      </c>
      <c r="AM46" s="36" t="n">
        <f aca="false">S46*Assumptions!$D$51+M46*Assumptions!$D$52</f>
        <v>123.069677579831</v>
      </c>
      <c r="AN46" s="36" t="n">
        <f aca="false">Assumptions!$D$53+Assumptions!$D$54*(S46+T46+U46)</f>
        <v>407.885591348267</v>
      </c>
      <c r="AO46" s="36" t="n">
        <f aca="false">IF(C46&gt;=2,Assumptions!$D$55,0)</f>
        <v>100</v>
      </c>
      <c r="AP46" s="33" t="n">
        <f aca="false">E46*Assumptions!$D$60/60+F46*Assumptions!$D$61+J46*Assumptions!$D$62+(S46+T46)*Assumptions!$D$63+X46*Assumptions!$D$64+Z46*Assumptions!$D$65+U46*Assumptions!$D$66+Assumptions!$D$67*52/12</f>
        <v>224.599565192621</v>
      </c>
      <c r="AQ46" s="33" t="n">
        <f aca="false">IF(BC45=1,Assumptions!$D$69,Assumptions!$D$68)*52/12</f>
        <v>108.333333333333</v>
      </c>
      <c r="AR46" s="33" t="n">
        <f aca="false">MAX(0,AP46-AQ46)</f>
        <v>116.266231859288</v>
      </c>
      <c r="AS46" s="36" t="n">
        <f aca="false">AR46*Assumptions!$D$70*Assumptions!$D$71</f>
        <v>1307.99510841699</v>
      </c>
      <c r="AT46" s="36" t="n">
        <f aca="false">Assumptions!$D$56/12</f>
        <v>75</v>
      </c>
      <c r="AU46" s="36" t="n">
        <f aca="false">IF(A46=1,Assumptions!$D$57,0)+Assumptions!$D$58</f>
        <v>45</v>
      </c>
      <c r="AV46" s="36" t="n">
        <f aca="false">IF(AND(Y46&gt;0,Y46=A46),Assumptions!$D$46,0)+IF(Y46&gt;0,Assumptions!$D$47,0)</f>
        <v>50</v>
      </c>
      <c r="AW46" s="36" t="n">
        <f aca="false">AK46+AL46+AM46+AN46+AO46+AS46+AT46+AU46+AV46</f>
        <v>2608.77878991376</v>
      </c>
      <c r="AX46" s="36" t="n">
        <f aca="false">AI46-AW46</f>
        <v>9671.47260399654</v>
      </c>
      <c r="AY46" s="36" t="n">
        <f aca="false">MAX(0,AX46)*Assumptions!$D$73</f>
        <v>2708.01232911903</v>
      </c>
      <c r="AZ46" s="36" t="n">
        <f aca="false">AX46-AY46</f>
        <v>6963.46027487751</v>
      </c>
      <c r="BA46" s="36" t="n">
        <f aca="false">BA45+AZ46</f>
        <v>144731.170319227</v>
      </c>
      <c r="BB46" s="31" t="n">
        <f aca="false">IF(AZ46&gt;=Assumptions!$D$74/12,BB45+1,0)</f>
        <v>0</v>
      </c>
      <c r="BC46" s="31" t="n">
        <f aca="false">IF(OR(BC45=1,BB46&gt;=3),1,0)</f>
        <v>0</v>
      </c>
      <c r="BD46" s="31" t="n">
        <f aca="false">IF(AZ46&gt;=Assumptions!$D$75/12,BD45+1,0)</f>
        <v>0</v>
      </c>
      <c r="BE46" s="33" t="n">
        <f aca="false">AP46*12/52</f>
        <v>51.8306688906049</v>
      </c>
      <c r="BF46" s="33" t="n">
        <f aca="false">AR46*12/52</f>
        <v>26.8306688906048</v>
      </c>
      <c r="BG46" s="31" t="n">
        <f aca="false">IF(AX46&gt;0,A46,999)</f>
        <v>42</v>
      </c>
      <c r="BH46" s="31" t="n">
        <f aca="false">IF(BB46&gt;=3,A46,999)</f>
        <v>999</v>
      </c>
      <c r="BI46" s="31" t="n">
        <f aca="false">IF(BD46&gt;=3,A46,999)</f>
        <v>999</v>
      </c>
    </row>
    <row r="47" customFormat="false" ht="15" hidden="false" customHeight="false" outlineLevel="0" collapsed="false">
      <c r="A47" s="31" t="n">
        <v>43</v>
      </c>
      <c r="B47" s="32" t="n">
        <f aca="false">DATE(2026,10+A47,1)</f>
        <v>47604</v>
      </c>
      <c r="C47" s="31" t="n">
        <f aca="false">INT((A47-1)/12)+1</f>
        <v>4</v>
      </c>
      <c r="D47" s="31" t="n">
        <f aca="false">IF(C47=1,Assumptions!$D$7,IF(C47=2,Assumptions!$D$8,Assumptions!$D$9))</f>
        <v>25</v>
      </c>
      <c r="E47" s="31" t="n">
        <f aca="false">D47*Assumptions!$D$10</f>
        <v>525</v>
      </c>
      <c r="F47" s="33" t="n">
        <f aca="false">E47*Assumptions!$D$11</f>
        <v>42</v>
      </c>
      <c r="G47" s="34" t="n">
        <f aca="false">MIN(1,Assumptions!$D$13+(1-Assumptions!$D$13)*(A47-1)/Assumptions!$D$14)</f>
        <v>1</v>
      </c>
      <c r="H47" s="33" t="n">
        <f aca="false">F47*Assumptions!$D$12*G47</f>
        <v>5.04</v>
      </c>
      <c r="I47" s="33" t="n">
        <f aca="false">Assumptions!$D$15*(Q46+R46+T46+U46)</f>
        <v>0.859618637827556</v>
      </c>
      <c r="J47" s="33" t="n">
        <f aca="false">H47+I47</f>
        <v>5.89961863782756</v>
      </c>
      <c r="K47" s="33" t="n">
        <f aca="false">J47*Assumptions!$D$18</f>
        <v>0</v>
      </c>
      <c r="L47" s="33" t="n">
        <f aca="false">(J47-K47)*Assumptions!$D$17</f>
        <v>4.12973304647929</v>
      </c>
      <c r="M47" s="33" t="n">
        <f aca="false">J47-K47-L47</f>
        <v>1.76988559134827</v>
      </c>
      <c r="N47" s="33" t="n">
        <f aca="false">L47*Assumptions!$D$19</f>
        <v>0.412973304647929</v>
      </c>
      <c r="O47" s="33" t="n">
        <f aca="false">L47-N47</f>
        <v>3.71675974183136</v>
      </c>
      <c r="P47" s="33" t="n">
        <f aca="false">O35*(1-Assumptions!$D$20)^12</f>
        <v>3.16625427997717</v>
      </c>
      <c r="Q47" s="33" t="n">
        <f aca="false">Q46*(1-Assumptions!$D$20)+O47-P47</f>
        <v>41.5423883895573</v>
      </c>
      <c r="R47" s="33" t="n">
        <f aca="false">R46*(1-Assumptions!$D$22)+P47*(1-Assumptions!$D$21)</f>
        <v>37.1463347755035</v>
      </c>
      <c r="S47" s="33" t="n">
        <f aca="false">Q47+R47</f>
        <v>78.6887231650608</v>
      </c>
      <c r="T47" s="33" t="n">
        <f aca="false">T46*(1-Assumptions!$D$24)+M47*Assumptions!$D$23</f>
        <v>8.82722666452212</v>
      </c>
      <c r="U47" s="33" t="n">
        <f aca="false">U46*(1-Assumptions!$D$25)+K47</f>
        <v>0</v>
      </c>
      <c r="V47" s="33" t="n">
        <f aca="false">V46+M47</f>
        <v>58.0238320408842</v>
      </c>
      <c r="W47" s="33" t="n">
        <f aca="false">N47+Q46*Assumptions!$D$20+P47*Assumptions!$D$21+R46*Assumptions!$D$22+T46*Assumptions!$D$24+U46*Assumptions!$D$25</f>
        <v>3.10661267705647</v>
      </c>
      <c r="X47" s="33" t="n">
        <f aca="false">IF(A47&lt;Assumptions!$D$34,0,Assumptions!$D$36*MIN(1,(A47-Assumptions!$D$34+1)/Assumptions!$D$35))*(S47+T47)</f>
        <v>17.5031899659166</v>
      </c>
      <c r="Y47" s="31" t="n">
        <f aca="false">IF(Y46&gt;0,Y46,IF(AND(A47&gt;=Assumptions!$D$41,Q46+R46+T46&gt;=Assumptions!$D$40),A47,0))</f>
        <v>13</v>
      </c>
      <c r="Z47" s="33" t="n">
        <f aca="false">IF(Y47&gt;0,Assumptions!$D$42*MIN(1,(A47-Y47+1)/Assumptions!$D$43),0)*(S47+T47)</f>
        <v>26.2547849488749</v>
      </c>
      <c r="AA47" s="35" t="n">
        <f aca="false">(1+Assumptions!$D$32)^(C47-1)</f>
        <v>1.092727</v>
      </c>
      <c r="AB47" s="36" t="n">
        <f aca="false">O47*Assumptions!$D$27*AA47</f>
        <v>402.078968518804</v>
      </c>
      <c r="AC47" s="36" t="n">
        <f aca="false">(Q46+R46)*Assumptions!$D$28*AA47</f>
        <v>8359.57274222375</v>
      </c>
      <c r="AD47" s="36" t="n">
        <f aca="false">M47*Assumptions!$D$29*AA47</f>
        <v>965.066884516032</v>
      </c>
      <c r="AE47" s="36" t="n">
        <f aca="false">T46*Assumptions!$D$30*AA47</f>
        <v>749.924944496269</v>
      </c>
      <c r="AF47" s="36" t="n">
        <f aca="false">U46*Assumptions!$D$31*AA47</f>
        <v>0</v>
      </c>
      <c r="AG47" s="36" t="n">
        <f aca="false">X47*Assumptions!$D$37*Assumptions!$D$38</f>
        <v>1225.22329761416</v>
      </c>
      <c r="AH47" s="36" t="n">
        <f aca="false">Z47*Assumptions!$D$44*Assumptions!$D$45</f>
        <v>787.643548466247</v>
      </c>
      <c r="AI47" s="36" t="n">
        <f aca="false">SUM(AB47:AH47)</f>
        <v>12489.5103858353</v>
      </c>
      <c r="AJ47" s="36" t="n">
        <f aca="false">(S47*Assumptions!$D$28+T47*Assumptions!$D$30+U47*Assumptions!$D$31)*AA47+AG47+AH47</f>
        <v>11287.4249574852</v>
      </c>
      <c r="AK47" s="36" t="n">
        <f aca="false">(AI47-AH47)*Assumptions!$D$49</f>
        <v>444.670939820022</v>
      </c>
      <c r="AL47" s="36" t="n">
        <f aca="false">(AC47+AE47+AF47)*Assumptions!$D$50</f>
        <v>63.7664838070401</v>
      </c>
      <c r="AM47" s="36" t="n">
        <f aca="false">S47*Assumptions!$D$51+M47*Assumptions!$D$52</f>
        <v>124.90918782655</v>
      </c>
      <c r="AN47" s="36" t="n">
        <f aca="false">Assumptions!$D$53+Assumptions!$D$54*(S47+T47+U47)</f>
        <v>412.547849488749</v>
      </c>
      <c r="AO47" s="36" t="n">
        <f aca="false">IF(C47&gt;=2,Assumptions!$D$55,0)</f>
        <v>100</v>
      </c>
      <c r="AP47" s="33" t="n">
        <f aca="false">E47*Assumptions!$D$60/60+F47*Assumptions!$D$61+J47*Assumptions!$D$62+(S47+T47)*Assumptions!$D$63+X47*Assumptions!$D$64+Z47*Assumptions!$D$65+U47*Assumptions!$D$66+Assumptions!$D$67*52/12</f>
        <v>227.390048223165</v>
      </c>
      <c r="AQ47" s="33" t="n">
        <f aca="false">IF(BC46=1,Assumptions!$D$69,Assumptions!$D$68)*52/12</f>
        <v>108.333333333333</v>
      </c>
      <c r="AR47" s="33" t="n">
        <f aca="false">MAX(0,AP47-AQ47)</f>
        <v>119.056714889832</v>
      </c>
      <c r="AS47" s="36" t="n">
        <f aca="false">AR47*Assumptions!$D$70*Assumptions!$D$71</f>
        <v>1339.3880425106</v>
      </c>
      <c r="AT47" s="36" t="n">
        <f aca="false">Assumptions!$D$56/12</f>
        <v>75</v>
      </c>
      <c r="AU47" s="36" t="n">
        <f aca="false">IF(A47=1,Assumptions!$D$57,0)+Assumptions!$D$58</f>
        <v>45</v>
      </c>
      <c r="AV47" s="36" t="n">
        <f aca="false">IF(AND(Y47&gt;0,Y47=A47),Assumptions!$D$46,0)+IF(Y47&gt;0,Assumptions!$D$47,0)</f>
        <v>50</v>
      </c>
      <c r="AW47" s="36" t="n">
        <f aca="false">AK47+AL47+AM47+AN47+AO47+AS47+AT47+AU47+AV47</f>
        <v>2655.28250345297</v>
      </c>
      <c r="AX47" s="36" t="n">
        <f aca="false">AI47-AW47</f>
        <v>9834.22788238229</v>
      </c>
      <c r="AY47" s="36" t="n">
        <f aca="false">MAX(0,AX47)*Assumptions!$D$73</f>
        <v>2753.58380706704</v>
      </c>
      <c r="AZ47" s="36" t="n">
        <f aca="false">AX47-AY47</f>
        <v>7080.64407531525</v>
      </c>
      <c r="BA47" s="36" t="n">
        <f aca="false">BA46+AZ47</f>
        <v>151811.814394542</v>
      </c>
      <c r="BB47" s="31" t="n">
        <f aca="false">IF(AZ47&gt;=Assumptions!$D$74/12,BB46+1,0)</f>
        <v>0</v>
      </c>
      <c r="BC47" s="31" t="n">
        <f aca="false">IF(OR(BC46=1,BB47&gt;=3),1,0)</f>
        <v>0</v>
      </c>
      <c r="BD47" s="31" t="n">
        <f aca="false">IF(AZ47&gt;=Assumptions!$D$75/12,BD46+1,0)</f>
        <v>0</v>
      </c>
      <c r="BE47" s="33" t="n">
        <f aca="false">AP47*12/52</f>
        <v>52.4746265130381</v>
      </c>
      <c r="BF47" s="33" t="n">
        <f aca="false">AR47*12/52</f>
        <v>27.474626513038</v>
      </c>
      <c r="BG47" s="31" t="n">
        <f aca="false">IF(AX47&gt;0,A47,999)</f>
        <v>43</v>
      </c>
      <c r="BH47" s="31" t="n">
        <f aca="false">IF(BB47&gt;=3,A47,999)</f>
        <v>999</v>
      </c>
      <c r="BI47" s="31" t="n">
        <f aca="false">IF(BD47&gt;=3,A47,999)</f>
        <v>999</v>
      </c>
    </row>
    <row r="48" customFormat="false" ht="15" hidden="false" customHeight="false" outlineLevel="0" collapsed="false">
      <c r="A48" s="31" t="n">
        <v>44</v>
      </c>
      <c r="B48" s="32" t="n">
        <f aca="false">DATE(2026,10+A48,1)</f>
        <v>47635</v>
      </c>
      <c r="C48" s="31" t="n">
        <f aca="false">INT((A48-1)/12)+1</f>
        <v>4</v>
      </c>
      <c r="D48" s="31" t="n">
        <f aca="false">IF(C48=1,Assumptions!$D$7,IF(C48=2,Assumptions!$D$8,Assumptions!$D$9))</f>
        <v>25</v>
      </c>
      <c r="E48" s="31" t="n">
        <f aca="false">D48*Assumptions!$D$10</f>
        <v>525</v>
      </c>
      <c r="F48" s="33" t="n">
        <f aca="false">E48*Assumptions!$D$11</f>
        <v>42</v>
      </c>
      <c r="G48" s="34" t="n">
        <f aca="false">MIN(1,Assumptions!$D$13+(1-Assumptions!$D$13)*(A48-1)/Assumptions!$D$14)</f>
        <v>1</v>
      </c>
      <c r="H48" s="33" t="n">
        <f aca="false">F48*Assumptions!$D$12*G48</f>
        <v>5.04</v>
      </c>
      <c r="I48" s="33" t="n">
        <f aca="false">Assumptions!$D$15*(Q47+R47+T47+U47)</f>
        <v>0.87515949829583</v>
      </c>
      <c r="J48" s="33" t="n">
        <f aca="false">H48+I48</f>
        <v>5.91515949829583</v>
      </c>
      <c r="K48" s="33" t="n">
        <f aca="false">J48*Assumptions!$D$18</f>
        <v>0</v>
      </c>
      <c r="L48" s="33" t="n">
        <f aca="false">(J48-K48)*Assumptions!$D$17</f>
        <v>4.14061164880708</v>
      </c>
      <c r="M48" s="33" t="n">
        <f aca="false">J48-K48-L48</f>
        <v>1.77454784948875</v>
      </c>
      <c r="N48" s="33" t="n">
        <f aca="false">L48*Assumptions!$D$19</f>
        <v>0.414061164880708</v>
      </c>
      <c r="O48" s="33" t="n">
        <f aca="false">L48-N48</f>
        <v>3.72655048392637</v>
      </c>
      <c r="P48" s="33" t="n">
        <f aca="false">O36*(1-Assumptions!$D$20)^12</f>
        <v>3.17866350071736</v>
      </c>
      <c r="Q48" s="33" t="n">
        <f aca="false">Q47*(1-Assumptions!$D$20)+O48-P48</f>
        <v>41.6748514888708</v>
      </c>
      <c r="R48" s="33" t="n">
        <f aca="false">R47*(1-Assumptions!$D$22)+P48*(1-Assumptions!$D$21)</f>
        <v>38.3891438589348</v>
      </c>
      <c r="S48" s="33" t="n">
        <f aca="false">Q48+R48</f>
        <v>80.0639953478055</v>
      </c>
      <c r="T48" s="33" t="n">
        <f aca="false">T47*(1-Assumptions!$D$24)+M48*Assumptions!$D$23</f>
        <v>8.96236581946524</v>
      </c>
      <c r="U48" s="33" t="n">
        <f aca="false">U47*(1-Assumptions!$D$25)+K48</f>
        <v>0</v>
      </c>
      <c r="V48" s="33" t="n">
        <f aca="false">V47+M48</f>
        <v>59.798379890373</v>
      </c>
      <c r="W48" s="33" t="n">
        <f aca="false">N48+Q47*Assumptions!$D$20+P48*Assumptions!$D$21+R47*Assumptions!$D$22+T47*Assumptions!$D$24+U47*Assumptions!$D$25</f>
        <v>3.16256466596587</v>
      </c>
      <c r="X48" s="33" t="n">
        <f aca="false">IF(A48&lt;Assumptions!$D$34,0,Assumptions!$D$36*MIN(1,(A48-Assumptions!$D$34+1)/Assumptions!$D$35))*(S48+T48)</f>
        <v>17.8052722334542</v>
      </c>
      <c r="Y48" s="31" t="n">
        <f aca="false">IF(Y47&gt;0,Y47,IF(AND(A48&gt;=Assumptions!$D$41,Q47+R47+T47&gt;=Assumptions!$D$40),A48,0))</f>
        <v>13</v>
      </c>
      <c r="Z48" s="33" t="n">
        <f aca="false">IF(Y48&gt;0,Assumptions!$D$42*MIN(1,(A48-Y48+1)/Assumptions!$D$43),0)*(S48+T48)</f>
        <v>26.7079083501812</v>
      </c>
      <c r="AA48" s="35" t="n">
        <f aca="false">(1+Assumptions!$D$32)^(C48-1)</f>
        <v>1.092727</v>
      </c>
      <c r="AB48" s="36" t="n">
        <f aca="false">O48*Assumptions!$D$27*AA48</f>
        <v>403.138130734292</v>
      </c>
      <c r="AC48" s="36" t="n">
        <f aca="false">(Q47+R47)*Assumptions!$D$28*AA48</f>
        <v>8512.54394740076</v>
      </c>
      <c r="AD48" s="36" t="n">
        <f aca="false">M48*Assumptions!$D$29*AA48</f>
        <v>967.609077616218</v>
      </c>
      <c r="AE48" s="36" t="n">
        <f aca="false">T47*Assumptions!$D$30*AA48</f>
        <v>762.014164004017</v>
      </c>
      <c r="AF48" s="36" t="n">
        <f aca="false">U47*Assumptions!$D$31*AA48</f>
        <v>0</v>
      </c>
      <c r="AG48" s="36" t="n">
        <f aca="false">X48*Assumptions!$D$37*Assumptions!$D$38</f>
        <v>1246.36905634179</v>
      </c>
      <c r="AH48" s="36" t="n">
        <f aca="false">Z48*Assumptions!$D$44*Assumptions!$D$45</f>
        <v>801.237250505437</v>
      </c>
      <c r="AI48" s="36" t="n">
        <f aca="false">SUM(AB48:AH48)</f>
        <v>12692.9116266025</v>
      </c>
      <c r="AJ48" s="36" t="n">
        <f aca="false">(S48*Assumptions!$D$28+T48*Assumptions!$D$30+U48*Assumptions!$D$31)*AA48+AG48+AH48</f>
        <v>11482.6072719147</v>
      </c>
      <c r="AK48" s="36" t="n">
        <f aca="false">(AI48-AH48)*Assumptions!$D$49</f>
        <v>451.883626291689</v>
      </c>
      <c r="AL48" s="36" t="n">
        <f aca="false">(AC48+AE48+AF48)*Assumptions!$D$50</f>
        <v>64.9219067798334</v>
      </c>
      <c r="AM48" s="36" t="n">
        <f aca="false">S48*Assumptions!$D$51+M48*Assumptions!$D$52</f>
        <v>126.698211927088</v>
      </c>
      <c r="AN48" s="36" t="n">
        <f aca="false">Assumptions!$D$53+Assumptions!$D$54*(S48+T48+U48)</f>
        <v>417.079083501812</v>
      </c>
      <c r="AO48" s="36" t="n">
        <f aca="false">IF(C48&gt;=2,Assumptions!$D$55,0)</f>
        <v>100</v>
      </c>
      <c r="AP48" s="33" t="n">
        <f aca="false">E48*Assumptions!$D$60/60+F48*Assumptions!$D$61+J48*Assumptions!$D$62+(S48+T48)*Assumptions!$D$63+X48*Assumptions!$D$64+Z48*Assumptions!$D$65+U48*Assumptions!$D$66+Assumptions!$D$67*52/12</f>
        <v>230.102110068497</v>
      </c>
      <c r="AQ48" s="33" t="n">
        <f aca="false">IF(BC47=1,Assumptions!$D$69,Assumptions!$D$68)*52/12</f>
        <v>108.333333333333</v>
      </c>
      <c r="AR48" s="33" t="n">
        <f aca="false">MAX(0,AP48-AQ48)</f>
        <v>121.768776735164</v>
      </c>
      <c r="AS48" s="36" t="n">
        <f aca="false">AR48*Assumptions!$D$70*Assumptions!$D$71</f>
        <v>1369.89873827059</v>
      </c>
      <c r="AT48" s="36" t="n">
        <f aca="false">Assumptions!$D$56/12</f>
        <v>75</v>
      </c>
      <c r="AU48" s="36" t="n">
        <f aca="false">IF(A48=1,Assumptions!$D$57,0)+Assumptions!$D$58</f>
        <v>45</v>
      </c>
      <c r="AV48" s="36" t="n">
        <f aca="false">IF(AND(Y48&gt;0,Y48=A48),Assumptions!$D$46,0)+IF(Y48&gt;0,Assumptions!$D$47,0)</f>
        <v>50</v>
      </c>
      <c r="AW48" s="36" t="n">
        <f aca="false">AK48+AL48+AM48+AN48+AO48+AS48+AT48+AU48+AV48</f>
        <v>2700.48156677102</v>
      </c>
      <c r="AX48" s="36" t="n">
        <f aca="false">AI48-AW48</f>
        <v>9992.4300598315</v>
      </c>
      <c r="AY48" s="36" t="n">
        <f aca="false">MAX(0,AX48)*Assumptions!$D$73</f>
        <v>2797.88041675282</v>
      </c>
      <c r="AZ48" s="36" t="n">
        <f aca="false">AX48-AY48</f>
        <v>7194.54964307868</v>
      </c>
      <c r="BA48" s="36" t="n">
        <f aca="false">BA47+AZ48</f>
        <v>159006.364037621</v>
      </c>
      <c r="BB48" s="31" t="n">
        <f aca="false">IF(AZ48&gt;=Assumptions!$D$74/12,BB47+1,0)</f>
        <v>0</v>
      </c>
      <c r="BC48" s="31" t="n">
        <f aca="false">IF(OR(BC47=1,BB48&gt;=3),1,0)</f>
        <v>0</v>
      </c>
      <c r="BD48" s="31" t="n">
        <f aca="false">IF(AZ48&gt;=Assumptions!$D$75/12,BD47+1,0)</f>
        <v>0</v>
      </c>
      <c r="BE48" s="33" t="n">
        <f aca="false">AP48*12/52</f>
        <v>53.100486938884</v>
      </c>
      <c r="BF48" s="33" t="n">
        <f aca="false">AR48*12/52</f>
        <v>28.100486938884</v>
      </c>
      <c r="BG48" s="31" t="n">
        <f aca="false">IF(AX48&gt;0,A48,999)</f>
        <v>44</v>
      </c>
      <c r="BH48" s="31" t="n">
        <f aca="false">IF(BB48&gt;=3,A48,999)</f>
        <v>999</v>
      </c>
      <c r="BI48" s="31" t="n">
        <f aca="false">IF(BD48&gt;=3,A48,999)</f>
        <v>999</v>
      </c>
    </row>
    <row r="49" customFormat="false" ht="15" hidden="false" customHeight="false" outlineLevel="0" collapsed="false">
      <c r="A49" s="31" t="n">
        <v>45</v>
      </c>
      <c r="B49" s="32" t="n">
        <f aca="false">DATE(2026,10+A49,1)</f>
        <v>47665</v>
      </c>
      <c r="C49" s="31" t="n">
        <f aca="false">INT((A49-1)/12)+1</f>
        <v>4</v>
      </c>
      <c r="D49" s="31" t="n">
        <f aca="false">IF(C49=1,Assumptions!$D$7,IF(C49=2,Assumptions!$D$8,Assumptions!$D$9))</f>
        <v>25</v>
      </c>
      <c r="E49" s="31" t="n">
        <f aca="false">D49*Assumptions!$D$10</f>
        <v>525</v>
      </c>
      <c r="F49" s="33" t="n">
        <f aca="false">E49*Assumptions!$D$11</f>
        <v>42</v>
      </c>
      <c r="G49" s="34" t="n">
        <f aca="false">MIN(1,Assumptions!$D$13+(1-Assumptions!$D$13)*(A49-1)/Assumptions!$D$14)</f>
        <v>1</v>
      </c>
      <c r="H49" s="33" t="n">
        <f aca="false">F49*Assumptions!$D$12*G49</f>
        <v>5.04</v>
      </c>
      <c r="I49" s="33" t="n">
        <f aca="false">Assumptions!$D$15*(Q48+R48+T48+U48)</f>
        <v>0.890263611672708</v>
      </c>
      <c r="J49" s="33" t="n">
        <f aca="false">H49+I49</f>
        <v>5.93026361167271</v>
      </c>
      <c r="K49" s="33" t="n">
        <f aca="false">J49*Assumptions!$D$18</f>
        <v>0</v>
      </c>
      <c r="L49" s="33" t="n">
        <f aca="false">(J49-K49)*Assumptions!$D$17</f>
        <v>4.1511845281709</v>
      </c>
      <c r="M49" s="33" t="n">
        <f aca="false">J49-K49-L49</f>
        <v>1.77907908350181</v>
      </c>
      <c r="N49" s="33" t="n">
        <f aca="false">L49*Assumptions!$D$19</f>
        <v>0.41511845281709</v>
      </c>
      <c r="O49" s="33" t="n">
        <f aca="false">L49-N49</f>
        <v>3.73606607535381</v>
      </c>
      <c r="P49" s="33" t="n">
        <f aca="false">O37*(1-Assumptions!$D$20)^12</f>
        <v>3.19080793933594</v>
      </c>
      <c r="Q49" s="33" t="n">
        <f aca="false">Q48*(1-Assumptions!$D$20)+O49-P49</f>
        <v>41.8033611099999</v>
      </c>
      <c r="R49" s="33" t="n">
        <f aca="false">R48*(1-Assumptions!$D$22)+P49*(1-Assumptions!$D$21)</f>
        <v>39.5981701753408</v>
      </c>
      <c r="S49" s="33" t="n">
        <f aca="false">Q49+R49</f>
        <v>81.4015312853407</v>
      </c>
      <c r="T49" s="33" t="n">
        <f aca="false">T48*(1-Assumptions!$D$24)+M49*Assumptions!$D$23</f>
        <v>9.09278308263985</v>
      </c>
      <c r="U49" s="33" t="n">
        <f aca="false">U48*(1-Assumptions!$D$25)+K49</f>
        <v>0</v>
      </c>
      <c r="V49" s="33" t="n">
        <f aca="false">V48+M49</f>
        <v>61.5774589738748</v>
      </c>
      <c r="W49" s="33" t="n">
        <f aca="false">N49+Q48*Assumptions!$D$20+P49*Assumptions!$D$21+R48*Assumptions!$D$22+T48*Assumptions!$D$24+U48*Assumptions!$D$25</f>
        <v>3.21695505251164</v>
      </c>
      <c r="X49" s="33" t="n">
        <f aca="false">IF(A49&lt;Assumptions!$D$34,0,Assumptions!$D$36*MIN(1,(A49-Assumptions!$D$34+1)/Assumptions!$D$35))*(S49+T49)</f>
        <v>18.0988628735961</v>
      </c>
      <c r="Y49" s="31" t="n">
        <f aca="false">IF(Y48&gt;0,Y48,IF(AND(A49&gt;=Assumptions!$D$41,Q48+R48+T48&gt;=Assumptions!$D$40),A49,0))</f>
        <v>13</v>
      </c>
      <c r="Z49" s="33" t="n">
        <f aca="false">IF(Y49&gt;0,Assumptions!$D$42*MIN(1,(A49-Y49+1)/Assumptions!$D$43),0)*(S49+T49)</f>
        <v>27.1482943103942</v>
      </c>
      <c r="AA49" s="35" t="n">
        <f aca="false">(1+Assumptions!$D$32)^(C49-1)</f>
        <v>1.092727</v>
      </c>
      <c r="AB49" s="36" t="n">
        <f aca="false">O49*Assumptions!$D$27*AA49</f>
        <v>404.167527157991</v>
      </c>
      <c r="AC49" s="36" t="n">
        <f aca="false">(Q48+R48)*Assumptions!$D$28*AA49</f>
        <v>8661.32085499773</v>
      </c>
      <c r="AD49" s="36" t="n">
        <f aca="false">M49*Assumptions!$D$29*AA49</f>
        <v>970.079827089165</v>
      </c>
      <c r="AE49" s="36" t="n">
        <f aca="false">T48*Assumptions!$D$30*AA49</f>
        <v>773.680110069737</v>
      </c>
      <c r="AF49" s="36" t="n">
        <f aca="false">U48*Assumptions!$D$31*AA49</f>
        <v>0</v>
      </c>
      <c r="AG49" s="36" t="n">
        <f aca="false">X49*Assumptions!$D$37*Assumptions!$D$38</f>
        <v>1266.92040115173</v>
      </c>
      <c r="AH49" s="36" t="n">
        <f aca="false">Z49*Assumptions!$D$44*Assumptions!$D$45</f>
        <v>814.448829311825</v>
      </c>
      <c r="AI49" s="36" t="n">
        <f aca="false">SUM(AB49:AH49)</f>
        <v>12890.6175497782</v>
      </c>
      <c r="AJ49" s="36" t="n">
        <f aca="false">(S49*Assumptions!$D$28+T49*Assumptions!$D$30+U49*Assumptions!$D$31)*AA49+AG49+AH49</f>
        <v>11672.3231238543</v>
      </c>
      <c r="AK49" s="36" t="n">
        <f aca="false">(AI49-AH49)*Assumptions!$D$49</f>
        <v>458.894411377721</v>
      </c>
      <c r="AL49" s="36" t="n">
        <f aca="false">(AC49+AE49+AF49)*Assumptions!$D$50</f>
        <v>66.0450067554723</v>
      </c>
      <c r="AM49" s="36" t="n">
        <f aca="false">S49*Assumptions!$D$51+M49*Assumptions!$D$52</f>
        <v>128.438100359203</v>
      </c>
      <c r="AN49" s="36" t="n">
        <f aca="false">Assumptions!$D$53+Assumptions!$D$54*(S49+T49+U49)</f>
        <v>421.482943103942</v>
      </c>
      <c r="AO49" s="36" t="n">
        <f aca="false">IF(C49&gt;=2,Assumptions!$D$55,0)</f>
        <v>100</v>
      </c>
      <c r="AP49" s="33" t="n">
        <f aca="false">E49*Assumptions!$D$60/60+F49*Assumptions!$D$61+J49*Assumptions!$D$62+(S49+T49)*Assumptions!$D$63+X49*Assumptions!$D$64+Z49*Assumptions!$D$65+U49*Assumptions!$D$66+Assumptions!$D$67*52/12</f>
        <v>232.737935226511</v>
      </c>
      <c r="AQ49" s="33" t="n">
        <f aca="false">IF(BC48=1,Assumptions!$D$69,Assumptions!$D$68)*52/12</f>
        <v>108.333333333333</v>
      </c>
      <c r="AR49" s="33" t="n">
        <f aca="false">MAX(0,AP49-AQ49)</f>
        <v>124.404601893178</v>
      </c>
      <c r="AS49" s="36" t="n">
        <f aca="false">AR49*Assumptions!$D$70*Assumptions!$D$71</f>
        <v>1399.55177129825</v>
      </c>
      <c r="AT49" s="36" t="n">
        <f aca="false">Assumptions!$D$56/12</f>
        <v>75</v>
      </c>
      <c r="AU49" s="36" t="n">
        <f aca="false">IF(A49=1,Assumptions!$D$57,0)+Assumptions!$D$58</f>
        <v>45</v>
      </c>
      <c r="AV49" s="36" t="n">
        <f aca="false">IF(AND(Y49&gt;0,Y49=A49),Assumptions!$D$46,0)+IF(Y49&gt;0,Assumptions!$D$47,0)</f>
        <v>50</v>
      </c>
      <c r="AW49" s="36" t="n">
        <f aca="false">AK49+AL49+AM49+AN49+AO49+AS49+AT49+AU49+AV49</f>
        <v>2744.41223289459</v>
      </c>
      <c r="AX49" s="36" t="n">
        <f aca="false">AI49-AW49</f>
        <v>10146.2053168836</v>
      </c>
      <c r="AY49" s="36" t="n">
        <f aca="false">MAX(0,AX49)*Assumptions!$D$73</f>
        <v>2840.93748872741</v>
      </c>
      <c r="AZ49" s="36" t="n">
        <f aca="false">AX49-AY49</f>
        <v>7305.26782815618</v>
      </c>
      <c r="BA49" s="36" t="n">
        <f aca="false">BA48+AZ49</f>
        <v>166311.631865777</v>
      </c>
      <c r="BB49" s="31" t="n">
        <f aca="false">IF(AZ49&gt;=Assumptions!$D$74/12,BB48+1,0)</f>
        <v>0</v>
      </c>
      <c r="BC49" s="31" t="n">
        <f aca="false">IF(OR(BC48=1,BB49&gt;=3),1,0)</f>
        <v>0</v>
      </c>
      <c r="BD49" s="31" t="n">
        <f aca="false">IF(AZ49&gt;=Assumptions!$D$75/12,BD48+1,0)</f>
        <v>0</v>
      </c>
      <c r="BE49" s="33" t="n">
        <f aca="false">AP49*12/52</f>
        <v>53.708754283041</v>
      </c>
      <c r="BF49" s="33" t="n">
        <f aca="false">AR49*12/52</f>
        <v>28.708754283041</v>
      </c>
      <c r="BG49" s="31" t="n">
        <f aca="false">IF(AX49&gt;0,A49,999)</f>
        <v>45</v>
      </c>
      <c r="BH49" s="31" t="n">
        <f aca="false">IF(BB49&gt;=3,A49,999)</f>
        <v>999</v>
      </c>
      <c r="BI49" s="31" t="n">
        <f aca="false">IF(BD49&gt;=3,A49,999)</f>
        <v>999</v>
      </c>
    </row>
    <row r="50" customFormat="false" ht="15" hidden="false" customHeight="false" outlineLevel="0" collapsed="false">
      <c r="A50" s="31" t="n">
        <v>46</v>
      </c>
      <c r="B50" s="32" t="n">
        <f aca="false">DATE(2026,10+A50,1)</f>
        <v>47696</v>
      </c>
      <c r="C50" s="31" t="n">
        <f aca="false">INT((A50-1)/12)+1</f>
        <v>4</v>
      </c>
      <c r="D50" s="31" t="n">
        <f aca="false">IF(C50=1,Assumptions!$D$7,IF(C50=2,Assumptions!$D$8,Assumptions!$D$9))</f>
        <v>25</v>
      </c>
      <c r="E50" s="31" t="n">
        <f aca="false">D50*Assumptions!$D$10</f>
        <v>525</v>
      </c>
      <c r="F50" s="33" t="n">
        <f aca="false">E50*Assumptions!$D$11</f>
        <v>42</v>
      </c>
      <c r="G50" s="34" t="n">
        <f aca="false">MIN(1,Assumptions!$D$13+(1-Assumptions!$D$13)*(A50-1)/Assumptions!$D$14)</f>
        <v>1</v>
      </c>
      <c r="H50" s="33" t="n">
        <f aca="false">F50*Assumptions!$D$12*G50</f>
        <v>5.04</v>
      </c>
      <c r="I50" s="33" t="n">
        <f aca="false">Assumptions!$D$15*(Q49+R49+T49+U49)</f>
        <v>0.904943143679806</v>
      </c>
      <c r="J50" s="33" t="n">
        <f aca="false">H50+I50</f>
        <v>5.94494314367981</v>
      </c>
      <c r="K50" s="33" t="n">
        <f aca="false">J50*Assumptions!$D$18</f>
        <v>0</v>
      </c>
      <c r="L50" s="33" t="n">
        <f aca="false">(J50-K50)*Assumptions!$D$17</f>
        <v>4.16146020057586</v>
      </c>
      <c r="M50" s="33" t="n">
        <f aca="false">J50-K50-L50</f>
        <v>1.78348294310394</v>
      </c>
      <c r="N50" s="33" t="n">
        <f aca="false">L50*Assumptions!$D$19</f>
        <v>0.416146020057586</v>
      </c>
      <c r="O50" s="33" t="n">
        <f aca="false">L50-N50</f>
        <v>3.74531418051828</v>
      </c>
      <c r="P50" s="33" t="n">
        <f aca="false">O38*(1-Assumptions!$D$20)^12</f>
        <v>3.20269486924742</v>
      </c>
      <c r="Q50" s="33" t="n">
        <f aca="false">Q49*(1-Assumptions!$D$20)+O50-P50</f>
        <v>41.9279468101708</v>
      </c>
      <c r="R50" s="33" t="n">
        <f aca="false">R49*(1-Assumptions!$D$22)+P50*(1-Assumptions!$D$21)</f>
        <v>40.7743901146018</v>
      </c>
      <c r="S50" s="33" t="n">
        <f aca="false">Q50+R50</f>
        <v>82.7023369247726</v>
      </c>
      <c r="T50" s="33" t="n">
        <f aca="false">T49*(1-Assumptions!$D$24)+M50*Assumptions!$D$23</f>
        <v>9.21865272685224</v>
      </c>
      <c r="U50" s="33" t="n">
        <f aca="false">U49*(1-Assumptions!$D$25)+K50</f>
        <v>0</v>
      </c>
      <c r="V50" s="33" t="n">
        <f aca="false">V49+M50</f>
        <v>63.3609419169787</v>
      </c>
      <c r="W50" s="33" t="n">
        <f aca="false">N50+Q49*Assumptions!$D$20+P50*Assumptions!$D$21+R49*Assumptions!$D$22+T49*Assumptions!$D$24+U49*Assumptions!$D$25</f>
        <v>3.26982979986279</v>
      </c>
      <c r="X50" s="33" t="n">
        <f aca="false">IF(A50&lt;Assumptions!$D$34,0,Assumptions!$D$36*MIN(1,(A50-Assumptions!$D$34+1)/Assumptions!$D$35))*(S50+T50)</f>
        <v>18.384197930325</v>
      </c>
      <c r="Y50" s="31" t="n">
        <f aca="false">IF(Y49&gt;0,Y49,IF(AND(A50&gt;=Assumptions!$D$41,Q49+R49+T49&gt;=Assumptions!$D$40),A50,0))</f>
        <v>13</v>
      </c>
      <c r="Z50" s="33" t="n">
        <f aca="false">IF(Y50&gt;0,Assumptions!$D$42*MIN(1,(A50-Y50+1)/Assumptions!$D$43),0)*(S50+T50)</f>
        <v>27.5762968954875</v>
      </c>
      <c r="AA50" s="35" t="n">
        <f aca="false">(1+Assumptions!$D$32)^(C50-1)</f>
        <v>1.092727</v>
      </c>
      <c r="AB50" s="36" t="n">
        <f aca="false">O50*Assumptions!$D$27*AA50</f>
        <v>405.167986924984</v>
      </c>
      <c r="AC50" s="36" t="n">
        <f aca="false">(Q49+R49)*Assumptions!$D$28*AA50</f>
        <v>8806.01545660681</v>
      </c>
      <c r="AD50" s="36" t="n">
        <f aca="false">M50*Assumptions!$D$29*AA50</f>
        <v>972.481123018602</v>
      </c>
      <c r="AE50" s="36" t="n">
        <f aca="false">T49*Assumptions!$D$30*AA50</f>
        <v>784.93843678396</v>
      </c>
      <c r="AF50" s="36" t="n">
        <f aca="false">U49*Assumptions!$D$31*AA50</f>
        <v>0</v>
      </c>
      <c r="AG50" s="36" t="n">
        <f aca="false">X50*Assumptions!$D$37*Assumptions!$D$38</f>
        <v>1286.89385512275</v>
      </c>
      <c r="AH50" s="36" t="n">
        <f aca="false">Z50*Assumptions!$D$44*Assumptions!$D$45</f>
        <v>827.288906864623</v>
      </c>
      <c r="AI50" s="36" t="n">
        <f aca="false">SUM(AB50:AH50)</f>
        <v>13082.7857653217</v>
      </c>
      <c r="AJ50" s="36" t="n">
        <f aca="false">(S50*Assumptions!$D$28+T50*Assumptions!$D$30+U50*Assumptions!$D$31)*AA50+AG50+AH50</f>
        <v>11856.7235258683</v>
      </c>
      <c r="AK50" s="36" t="n">
        <f aca="false">(AI50-AH50)*Assumptions!$D$49</f>
        <v>465.70888062137</v>
      </c>
      <c r="AL50" s="36" t="n">
        <f aca="false">(AC50+AE50+AF50)*Assumptions!$D$50</f>
        <v>67.1366772537354</v>
      </c>
      <c r="AM50" s="36" t="n">
        <f aca="false">S50*Assumptions!$D$51+M50*Assumptions!$D$52</f>
        <v>130.130165302525</v>
      </c>
      <c r="AN50" s="36" t="n">
        <f aca="false">Assumptions!$D$53+Assumptions!$D$54*(S50+T50+U50)</f>
        <v>425.762968954875</v>
      </c>
      <c r="AO50" s="36" t="n">
        <f aca="false">IF(C50&gt;=2,Assumptions!$D$55,0)</f>
        <v>100</v>
      </c>
      <c r="AP50" s="33" t="n">
        <f aca="false">E50*Assumptions!$D$60/60+F50*Assumptions!$D$61+J50*Assumptions!$D$62+(S50+T50)*Assumptions!$D$63+X50*Assumptions!$D$64+Z50*Assumptions!$D$65+U50*Assumptions!$D$66+Assumptions!$D$67*52/12</f>
        <v>235.299642918994</v>
      </c>
      <c r="AQ50" s="33" t="n">
        <f aca="false">IF(BC49=1,Assumptions!$D$69,Assumptions!$D$68)*52/12</f>
        <v>108.333333333333</v>
      </c>
      <c r="AR50" s="33" t="n">
        <f aca="false">MAX(0,AP50-AQ50)</f>
        <v>126.96630958566</v>
      </c>
      <c r="AS50" s="36" t="n">
        <f aca="false">AR50*Assumptions!$D$70*Assumptions!$D$71</f>
        <v>1428.37098283868</v>
      </c>
      <c r="AT50" s="36" t="n">
        <f aca="false">Assumptions!$D$56/12</f>
        <v>75</v>
      </c>
      <c r="AU50" s="36" t="n">
        <f aca="false">IF(A50=1,Assumptions!$D$57,0)+Assumptions!$D$58</f>
        <v>45</v>
      </c>
      <c r="AV50" s="36" t="n">
        <f aca="false">IF(AND(Y50&gt;0,Y50=A50),Assumptions!$D$46,0)+IF(Y50&gt;0,Assumptions!$D$47,0)</f>
        <v>50</v>
      </c>
      <c r="AW50" s="36" t="n">
        <f aca="false">AK50+AL50+AM50+AN50+AO50+AS50+AT50+AU50+AV50</f>
        <v>2787.10967497118</v>
      </c>
      <c r="AX50" s="36" t="n">
        <f aca="false">AI50-AW50</f>
        <v>10295.6760903505</v>
      </c>
      <c r="AY50" s="36" t="n">
        <f aca="false">MAX(0,AX50)*Assumptions!$D$73</f>
        <v>2882.78930529815</v>
      </c>
      <c r="AZ50" s="36" t="n">
        <f aca="false">AX50-AY50</f>
        <v>7412.88678505239</v>
      </c>
      <c r="BA50" s="36" t="n">
        <f aca="false">BA49+AZ50</f>
        <v>173724.518650829</v>
      </c>
      <c r="BB50" s="31" t="n">
        <f aca="false">IF(AZ50&gt;=Assumptions!$D$74/12,BB49+1,0)</f>
        <v>0</v>
      </c>
      <c r="BC50" s="31" t="n">
        <f aca="false">IF(OR(BC49=1,BB50&gt;=3),1,0)</f>
        <v>0</v>
      </c>
      <c r="BD50" s="31" t="n">
        <f aca="false">IF(AZ50&gt;=Assumptions!$D$75/12,BD49+1,0)</f>
        <v>0</v>
      </c>
      <c r="BE50" s="33" t="n">
        <f aca="false">AP50*12/52</f>
        <v>54.2999175966909</v>
      </c>
      <c r="BF50" s="33" t="n">
        <f aca="false">AR50*12/52</f>
        <v>29.2999175966909</v>
      </c>
      <c r="BG50" s="31" t="n">
        <f aca="false">IF(AX50&gt;0,A50,999)</f>
        <v>46</v>
      </c>
      <c r="BH50" s="31" t="n">
        <f aca="false">IF(BB50&gt;=3,A50,999)</f>
        <v>999</v>
      </c>
      <c r="BI50" s="31" t="n">
        <f aca="false">IF(BD50&gt;=3,A50,999)</f>
        <v>999</v>
      </c>
    </row>
    <row r="51" customFormat="false" ht="15" hidden="false" customHeight="false" outlineLevel="0" collapsed="false">
      <c r="A51" s="31" t="n">
        <v>47</v>
      </c>
      <c r="B51" s="32" t="n">
        <f aca="false">DATE(2026,10+A51,1)</f>
        <v>47727</v>
      </c>
      <c r="C51" s="31" t="n">
        <f aca="false">INT((A51-1)/12)+1</f>
        <v>4</v>
      </c>
      <c r="D51" s="31" t="n">
        <f aca="false">IF(C51=1,Assumptions!$D$7,IF(C51=2,Assumptions!$D$8,Assumptions!$D$9))</f>
        <v>25</v>
      </c>
      <c r="E51" s="31" t="n">
        <f aca="false">D51*Assumptions!$D$10</f>
        <v>525</v>
      </c>
      <c r="F51" s="33" t="n">
        <f aca="false">E51*Assumptions!$D$11</f>
        <v>42</v>
      </c>
      <c r="G51" s="34" t="n">
        <f aca="false">MIN(1,Assumptions!$D$13+(1-Assumptions!$D$13)*(A51-1)/Assumptions!$D$14)</f>
        <v>1</v>
      </c>
      <c r="H51" s="33" t="n">
        <f aca="false">F51*Assumptions!$D$12*G51</f>
        <v>5.04</v>
      </c>
      <c r="I51" s="33" t="n">
        <f aca="false">Assumptions!$D$15*(Q50+R50+T50+U50)</f>
        <v>0.919209896516248</v>
      </c>
      <c r="J51" s="33" t="n">
        <f aca="false">H51+I51</f>
        <v>5.95920989651625</v>
      </c>
      <c r="K51" s="33" t="n">
        <f aca="false">J51*Assumptions!$D$18</f>
        <v>0</v>
      </c>
      <c r="L51" s="33" t="n">
        <f aca="false">(J51-K51)*Assumptions!$D$17</f>
        <v>4.17144692756137</v>
      </c>
      <c r="M51" s="33" t="n">
        <f aca="false">J51-K51-L51</f>
        <v>1.78776296895487</v>
      </c>
      <c r="N51" s="33" t="n">
        <f aca="false">L51*Assumptions!$D$19</f>
        <v>0.417144692756137</v>
      </c>
      <c r="O51" s="33" t="n">
        <f aca="false">L51-N51</f>
        <v>3.75430223480524</v>
      </c>
      <c r="P51" s="33" t="n">
        <f aca="false">O39*(1-Assumptions!$D$20)^12</f>
        <v>3.21433133940177</v>
      </c>
      <c r="Q51" s="33" t="n">
        <f aca="false">Q50*(1-Assumptions!$D$20)+O51-P51</f>
        <v>42.0486382374726</v>
      </c>
      <c r="R51" s="33" t="n">
        <f aca="false">R50*(1-Assumptions!$D$22)+P51*(1-Assumptions!$D$21)</f>
        <v>41.9187515321122</v>
      </c>
      <c r="S51" s="33" t="n">
        <f aca="false">Q51+R51</f>
        <v>83.9673897695847</v>
      </c>
      <c r="T51" s="33" t="n">
        <f aca="false">T50*(1-Assumptions!$D$24)+M51*Assumptions!$D$23</f>
        <v>9.34014224483035</v>
      </c>
      <c r="U51" s="33" t="n">
        <f aca="false">U50*(1-Assumptions!$D$25)+K51</f>
        <v>0</v>
      </c>
      <c r="V51" s="33" t="n">
        <f aca="false">V50+M51</f>
        <v>65.1487048859336</v>
      </c>
      <c r="W51" s="33" t="n">
        <f aca="false">N51+Q50*Assumptions!$D$20+P51*Assumptions!$D$21+R50*Assumptions!$D$22+T50*Assumptions!$D$24+U50*Assumptions!$D$25</f>
        <v>3.32123345545761</v>
      </c>
      <c r="X51" s="33" t="n">
        <f aca="false">IF(A51&lt;Assumptions!$D$34,0,Assumptions!$D$36*MIN(1,(A51-Assumptions!$D$34+1)/Assumptions!$D$35))*(S51+T51)</f>
        <v>18.661506402883</v>
      </c>
      <c r="Y51" s="31" t="n">
        <f aca="false">IF(Y50&gt;0,Y50,IF(AND(A51&gt;=Assumptions!$D$41,Q50+R50+T50&gt;=Assumptions!$D$40),A51,0))</f>
        <v>13</v>
      </c>
      <c r="Z51" s="33" t="n">
        <f aca="false">IF(Y51&gt;0,Assumptions!$D$42*MIN(1,(A51-Y51+1)/Assumptions!$D$43),0)*(S51+T51)</f>
        <v>27.9922596043245</v>
      </c>
      <c r="AA51" s="35" t="n">
        <f aca="false">(1+Assumptions!$D$32)^(C51-1)</f>
        <v>1.092727</v>
      </c>
      <c r="AB51" s="36" t="n">
        <f aca="false">O51*Assumptions!$D$27*AA51</f>
        <v>406.14031439507</v>
      </c>
      <c r="AC51" s="36" t="n">
        <f aca="false">(Q50+R50)*Assumptions!$D$28*AA51</f>
        <v>8946.7365755588</v>
      </c>
      <c r="AD51" s="36" t="n">
        <f aca="false">M51*Assumptions!$D$29*AA51</f>
        <v>974.814896022799</v>
      </c>
      <c r="AE51" s="36" t="n">
        <f aca="false">T50*Assumptions!$D$30*AA51</f>
        <v>795.80418832215</v>
      </c>
      <c r="AF51" s="36" t="n">
        <f aca="false">U50*Assumptions!$D$31*AA51</f>
        <v>0</v>
      </c>
      <c r="AG51" s="36" t="n">
        <f aca="false">X51*Assumptions!$D$37*Assumptions!$D$38</f>
        <v>1306.30544820181</v>
      </c>
      <c r="AH51" s="36" t="n">
        <f aca="false">Z51*Assumptions!$D$44*Assumptions!$D$45</f>
        <v>839.767788129736</v>
      </c>
      <c r="AI51" s="36" t="n">
        <f aca="false">SUM(AB51:AH51)</f>
        <v>13269.5692106304</v>
      </c>
      <c r="AJ51" s="36" t="n">
        <f aca="false">(S51*Assumptions!$D$28+T51*Assumptions!$D$30+U51*Assumptions!$D$31)*AA51+AG51+AH51</f>
        <v>12035.9550180523</v>
      </c>
      <c r="AK51" s="36" t="n">
        <f aca="false">(AI51-AH51)*Assumptions!$D$49</f>
        <v>472.332454055024</v>
      </c>
      <c r="AL51" s="36" t="n">
        <f aca="false">(AC51+AE51+AF51)*Assumptions!$D$50</f>
        <v>68.1977853471667</v>
      </c>
      <c r="AM51" s="36" t="n">
        <f aca="false">S51*Assumptions!$D$51+M51*Assumptions!$D$52</f>
        <v>131.775681746304</v>
      </c>
      <c r="AN51" s="36" t="n">
        <f aca="false">Assumptions!$D$53+Assumptions!$D$54*(S51+T51+U51)</f>
        <v>429.922596043245</v>
      </c>
      <c r="AO51" s="36" t="n">
        <f aca="false">IF(C51&gt;=2,Assumptions!$D$55,0)</f>
        <v>100</v>
      </c>
      <c r="AP51" s="33" t="n">
        <f aca="false">E51*Assumptions!$D$60/60+F51*Assumptions!$D$61+J51*Assumptions!$D$62+(S51+T51)*Assumptions!$D$63+X51*Assumptions!$D$64+Z51*Assumptions!$D$65+U51*Assumptions!$D$66+Assumptions!$D$67*52/12</f>
        <v>237.789289118619</v>
      </c>
      <c r="AQ51" s="33" t="n">
        <f aca="false">IF(BC50=1,Assumptions!$D$69,Assumptions!$D$68)*52/12</f>
        <v>108.333333333333</v>
      </c>
      <c r="AR51" s="33" t="n">
        <f aca="false">MAX(0,AP51-AQ51)</f>
        <v>129.455955785286</v>
      </c>
      <c r="AS51" s="36" t="n">
        <f aca="false">AR51*Assumptions!$D$70*Assumptions!$D$71</f>
        <v>1456.37950258447</v>
      </c>
      <c r="AT51" s="36" t="n">
        <f aca="false">Assumptions!$D$56/12</f>
        <v>75</v>
      </c>
      <c r="AU51" s="36" t="n">
        <f aca="false">IF(A51=1,Assumptions!$D$57,0)+Assumptions!$D$58</f>
        <v>45</v>
      </c>
      <c r="AV51" s="36" t="n">
        <f aca="false">IF(AND(Y51&gt;0,Y51=A51),Assumptions!$D$46,0)+IF(Y51&gt;0,Assumptions!$D$47,0)</f>
        <v>50</v>
      </c>
      <c r="AW51" s="36" t="n">
        <f aca="false">AK51+AL51+AM51+AN51+AO51+AS51+AT51+AU51+AV51</f>
        <v>2828.60801977621</v>
      </c>
      <c r="AX51" s="36" t="n">
        <f aca="false">AI51-AW51</f>
        <v>10440.9611908542</v>
      </c>
      <c r="AY51" s="36" t="n">
        <f aca="false">MAX(0,AX51)*Assumptions!$D$73</f>
        <v>2923.46913343917</v>
      </c>
      <c r="AZ51" s="36" t="n">
        <f aca="false">AX51-AY51</f>
        <v>7517.492057415</v>
      </c>
      <c r="BA51" s="36" t="n">
        <f aca="false">BA50+AZ51</f>
        <v>181242.010708244</v>
      </c>
      <c r="BB51" s="31" t="n">
        <f aca="false">IF(AZ51&gt;=Assumptions!$D$74/12,BB50+1,0)</f>
        <v>0</v>
      </c>
      <c r="BC51" s="31" t="n">
        <f aca="false">IF(OR(BC50=1,BB51&gt;=3),1,0)</f>
        <v>0</v>
      </c>
      <c r="BD51" s="31" t="n">
        <f aca="false">IF(AZ51&gt;=Assumptions!$D$75/12,BD50+1,0)</f>
        <v>0</v>
      </c>
      <c r="BE51" s="33" t="n">
        <f aca="false">AP51*12/52</f>
        <v>54.874451335066</v>
      </c>
      <c r="BF51" s="33" t="n">
        <f aca="false">AR51*12/52</f>
        <v>29.874451335066</v>
      </c>
      <c r="BG51" s="31" t="n">
        <f aca="false">IF(AX51&gt;0,A51,999)</f>
        <v>47</v>
      </c>
      <c r="BH51" s="31" t="n">
        <f aca="false">IF(BB51&gt;=3,A51,999)</f>
        <v>999</v>
      </c>
      <c r="BI51" s="31" t="n">
        <f aca="false">IF(BD51&gt;=3,A51,999)</f>
        <v>999</v>
      </c>
    </row>
    <row r="52" customFormat="false" ht="15" hidden="false" customHeight="false" outlineLevel="0" collapsed="false">
      <c r="A52" s="37" t="n">
        <v>48</v>
      </c>
      <c r="B52" s="38" t="n">
        <f aca="false">DATE(2026,10+A52,1)</f>
        <v>47757</v>
      </c>
      <c r="C52" s="37" t="n">
        <f aca="false">INT((A52-1)/12)+1</f>
        <v>4</v>
      </c>
      <c r="D52" s="37" t="n">
        <f aca="false">IF(C52=1,Assumptions!$D$7,IF(C52=2,Assumptions!$D$8,Assumptions!$D$9))</f>
        <v>25</v>
      </c>
      <c r="E52" s="37" t="n">
        <f aca="false">D52*Assumptions!$D$10</f>
        <v>525</v>
      </c>
      <c r="F52" s="39" t="n">
        <f aca="false">E52*Assumptions!$D$11</f>
        <v>42</v>
      </c>
      <c r="G52" s="40" t="n">
        <f aca="false">MIN(1,Assumptions!$D$13+(1-Assumptions!$D$13)*(A52-1)/Assumptions!$D$14)</f>
        <v>1</v>
      </c>
      <c r="H52" s="39" t="n">
        <f aca="false">F52*Assumptions!$D$12*G52</f>
        <v>5.04</v>
      </c>
      <c r="I52" s="39" t="n">
        <f aca="false">Assumptions!$D$15*(Q51+R51+T51+U51)</f>
        <v>0.933075320144151</v>
      </c>
      <c r="J52" s="39" t="n">
        <f aca="false">H52+I52</f>
        <v>5.97307532014415</v>
      </c>
      <c r="K52" s="39" t="n">
        <f aca="false">J52*Assumptions!$D$18</f>
        <v>0</v>
      </c>
      <c r="L52" s="39" t="n">
        <f aca="false">(J52-K52)*Assumptions!$D$17</f>
        <v>4.18115272410091</v>
      </c>
      <c r="M52" s="39" t="n">
        <f aca="false">J52-K52-L52</f>
        <v>1.79192259604325</v>
      </c>
      <c r="N52" s="39" t="n">
        <f aca="false">L52*Assumptions!$D$19</f>
        <v>0.418115272410091</v>
      </c>
      <c r="O52" s="39" t="n">
        <f aca="false">L52-N52</f>
        <v>3.76303745169081</v>
      </c>
      <c r="P52" s="39" t="n">
        <f aca="false">O40*(1-Assumptions!$D$20)^12</f>
        <v>3.22572418163772</v>
      </c>
      <c r="Q52" s="39" t="n">
        <f aca="false">Q51*(1-Assumptions!$D$20)+O52-P52</f>
        <v>42.1654651251509</v>
      </c>
      <c r="R52" s="39" t="n">
        <f aca="false">R51*(1-Assumptions!$D$22)+P52*(1-Assumptions!$D$21)</f>
        <v>43.0321745737984</v>
      </c>
      <c r="S52" s="39" t="n">
        <f aca="false">Q52+R52</f>
        <v>85.1976396989493</v>
      </c>
      <c r="T52" s="39" t="n">
        <f aca="false">T51*(1-Assumptions!$D$24)+M52*Assumptions!$D$23</f>
        <v>9.45741262262596</v>
      </c>
      <c r="U52" s="39" t="n">
        <f aca="false">U51*(1-Assumptions!$D$25)+K52</f>
        <v>0</v>
      </c>
      <c r="V52" s="39" t="n">
        <f aca="false">V51+M52</f>
        <v>66.9406274819768</v>
      </c>
      <c r="W52" s="39" t="n">
        <f aca="false">N52+Q51*Assumptions!$D$20+P52*Assumptions!$D$21+R51*Assumptions!$D$22+T51*Assumptions!$D$24+U51*Assumptions!$D$25</f>
        <v>3.37120919575365</v>
      </c>
      <c r="X52" s="39" t="n">
        <f aca="false">IF(A52&lt;Assumptions!$D$34,0,Assumptions!$D$36*MIN(1,(A52-Assumptions!$D$34+1)/Assumptions!$D$35))*(S52+T52)</f>
        <v>18.9310104643151</v>
      </c>
      <c r="Y52" s="37" t="n">
        <f aca="false">IF(Y51&gt;0,Y51,IF(AND(A52&gt;=Assumptions!$D$41,Q51+R51+T51&gt;=Assumptions!$D$40),A52,0))</f>
        <v>13</v>
      </c>
      <c r="Z52" s="39" t="n">
        <f aca="false">IF(Y52&gt;0,Assumptions!$D$42*MIN(1,(A52-Y52+1)/Assumptions!$D$43),0)*(S52+T52)</f>
        <v>28.3965156964726</v>
      </c>
      <c r="AA52" s="41" t="n">
        <f aca="false">(1+Assumptions!$D$32)^(C52-1)</f>
        <v>1.092727</v>
      </c>
      <c r="AB52" s="42" t="n">
        <f aca="false">O52*Assumptions!$D$27*AA52</f>
        <v>407.085289921901</v>
      </c>
      <c r="AC52" s="42" t="n">
        <f aca="false">(Q51+R51)*Assumptions!$D$28*AA52</f>
        <v>9083.58995815415</v>
      </c>
      <c r="AD52" s="42" t="n">
        <f aca="false">M52*Assumptions!$D$29*AA52</f>
        <v>977.083019100667</v>
      </c>
      <c r="AE52" s="42" t="n">
        <f aca="false">T51*Assumptions!$D$30*AA52</f>
        <v>806.291823566572</v>
      </c>
      <c r="AF52" s="42" t="n">
        <f aca="false">U51*Assumptions!$D$31*AA52</f>
        <v>0</v>
      </c>
      <c r="AG52" s="42" t="n">
        <f aca="false">X52*Assumptions!$D$37*Assumptions!$D$38</f>
        <v>1325.17073250205</v>
      </c>
      <c r="AH52" s="42" t="n">
        <f aca="false">Z52*Assumptions!$D$44*Assumptions!$D$45</f>
        <v>851.895470894178</v>
      </c>
      <c r="AI52" s="42" t="n">
        <f aca="false">SUM(AB52:AH52)</f>
        <v>13451.1162941395</v>
      </c>
      <c r="AJ52" s="42" t="n">
        <f aca="false">(S52*Assumptions!$D$28+T52*Assumptions!$D$30+U52*Assumptions!$D$31)*AA52+AG52+AH52</f>
        <v>12210.1598054002</v>
      </c>
      <c r="AK52" s="42" t="n">
        <f aca="false">(AI52-AH52)*Assumptions!$D$49</f>
        <v>478.770391283323</v>
      </c>
      <c r="AL52" s="42" t="n">
        <f aca="false">(AC52+AE52+AF52)*Assumptions!$D$50</f>
        <v>69.2291724720451</v>
      </c>
      <c r="AM52" s="42" t="n">
        <f aca="false">S52*Assumptions!$D$51+M52*Assumptions!$D$52</f>
        <v>133.375888564335</v>
      </c>
      <c r="AN52" s="42" t="n">
        <f aca="false">Assumptions!$D$53+Assumptions!$D$54*(S52+T52+U52)</f>
        <v>433.965156964726</v>
      </c>
      <c r="AO52" s="42" t="n">
        <f aca="false">IF(C52&gt;=2,Assumptions!$D$55,0)</f>
        <v>100</v>
      </c>
      <c r="AP52" s="39" t="n">
        <f aca="false">E52*Assumptions!$D$60/60+F52*Assumptions!$D$61+J52*Assumptions!$D$62+(S52+T52)*Assumptions!$D$63+X52*Assumptions!$D$64+Z52*Assumptions!$D$65+U52*Assumptions!$D$66+Assumptions!$D$67*52/12</f>
        <v>240.208868511084</v>
      </c>
      <c r="AQ52" s="39" t="n">
        <f aca="false">IF(BC51=1,Assumptions!$D$69,Assumptions!$D$68)*52/12</f>
        <v>108.333333333333</v>
      </c>
      <c r="AR52" s="39" t="n">
        <f aca="false">MAX(0,AP52-AQ52)</f>
        <v>131.875535177751</v>
      </c>
      <c r="AS52" s="42" t="n">
        <f aca="false">AR52*Assumptions!$D$70*Assumptions!$D$71</f>
        <v>1483.5997707497</v>
      </c>
      <c r="AT52" s="42" t="n">
        <f aca="false">Assumptions!$D$56/12</f>
        <v>75</v>
      </c>
      <c r="AU52" s="42" t="n">
        <f aca="false">IF(A52=1,Assumptions!$D$57,0)+Assumptions!$D$58</f>
        <v>45</v>
      </c>
      <c r="AV52" s="42" t="n">
        <f aca="false">IF(AND(Y52&gt;0,Y52=A52),Assumptions!$D$46,0)+IF(Y52&gt;0,Assumptions!$D$47,0)</f>
        <v>50</v>
      </c>
      <c r="AW52" s="42" t="n">
        <f aca="false">AK52+AL52+AM52+AN52+AO52+AS52+AT52+AU52+AV52</f>
        <v>2868.94038003413</v>
      </c>
      <c r="AX52" s="42" t="n">
        <f aca="false">AI52-AW52</f>
        <v>10582.1759141054</v>
      </c>
      <c r="AY52" s="42" t="n">
        <f aca="false">MAX(0,AX52)*Assumptions!$D$73</f>
        <v>2963.00925594951</v>
      </c>
      <c r="AZ52" s="42" t="n">
        <f aca="false">AX52-AY52</f>
        <v>7619.16665815588</v>
      </c>
      <c r="BA52" s="42" t="n">
        <f aca="false">BA51+AZ52</f>
        <v>188861.1773664</v>
      </c>
      <c r="BB52" s="37" t="n">
        <f aca="false">IF(AZ52&gt;=Assumptions!$D$74/12,BB51+1,0)</f>
        <v>0</v>
      </c>
      <c r="BC52" s="37" t="n">
        <f aca="false">IF(OR(BC51=1,BB52&gt;=3),1,0)</f>
        <v>0</v>
      </c>
      <c r="BD52" s="37" t="n">
        <f aca="false">IF(AZ52&gt;=Assumptions!$D$75/12,BD51+1,0)</f>
        <v>0</v>
      </c>
      <c r="BE52" s="39" t="n">
        <f aca="false">AP52*12/52</f>
        <v>55.4328158102503</v>
      </c>
      <c r="BF52" s="39" t="n">
        <f aca="false">AR52*12/52</f>
        <v>30.4328158102503</v>
      </c>
      <c r="BG52" s="37" t="n">
        <f aca="false">IF(AX52&gt;0,A52,999)</f>
        <v>48</v>
      </c>
      <c r="BH52" s="37" t="n">
        <f aca="false">IF(BB52&gt;=3,A52,999)</f>
        <v>999</v>
      </c>
      <c r="BI52" s="37" t="n">
        <f aca="false">IF(BD52&gt;=3,A52,999)</f>
        <v>999</v>
      </c>
    </row>
    <row r="53" customFormat="false" ht="15" hidden="false" customHeight="false" outlineLevel="0" collapsed="false">
      <c r="A53" s="31" t="n">
        <v>49</v>
      </c>
      <c r="B53" s="32" t="n">
        <f aca="false">DATE(2026,10+A53,1)</f>
        <v>47788</v>
      </c>
      <c r="C53" s="31" t="n">
        <f aca="false">INT((A53-1)/12)+1</f>
        <v>5</v>
      </c>
      <c r="D53" s="31" t="n">
        <f aca="false">IF(C53=1,Assumptions!$D$7,IF(C53=2,Assumptions!$D$8,Assumptions!$D$9))</f>
        <v>25</v>
      </c>
      <c r="E53" s="31" t="n">
        <f aca="false">D53*Assumptions!$D$10</f>
        <v>525</v>
      </c>
      <c r="F53" s="33" t="n">
        <f aca="false">E53*Assumptions!$D$11</f>
        <v>42</v>
      </c>
      <c r="G53" s="34" t="n">
        <f aca="false">MIN(1,Assumptions!$D$13+(1-Assumptions!$D$13)*(A53-1)/Assumptions!$D$14)</f>
        <v>1</v>
      </c>
      <c r="H53" s="33" t="n">
        <f aca="false">F53*Assumptions!$D$12*G53</f>
        <v>5.04</v>
      </c>
      <c r="I53" s="33" t="n">
        <f aca="false">Assumptions!$D$15*(Q52+R52+T52+U52)</f>
        <v>0.946550523215753</v>
      </c>
      <c r="J53" s="33" t="n">
        <f aca="false">H53+I53</f>
        <v>5.98655052321575</v>
      </c>
      <c r="K53" s="33" t="n">
        <f aca="false">J53*Assumptions!$D$18</f>
        <v>0</v>
      </c>
      <c r="L53" s="33" t="n">
        <f aca="false">(J53-K53)*Assumptions!$D$17</f>
        <v>4.19058536625103</v>
      </c>
      <c r="M53" s="33" t="n">
        <f aca="false">J53-K53-L53</f>
        <v>1.79596515696473</v>
      </c>
      <c r="N53" s="33" t="n">
        <f aca="false">L53*Assumptions!$D$19</f>
        <v>0.419058536625103</v>
      </c>
      <c r="O53" s="33" t="n">
        <f aca="false">L53-N53</f>
        <v>3.77152682962592</v>
      </c>
      <c r="P53" s="33" t="n">
        <f aca="false">O41*(1-Assumptions!$D$20)^12</f>
        <v>3.23688001778883</v>
      </c>
      <c r="Q53" s="33" t="n">
        <f aca="false">Q52*(1-Assumptions!$D$20)+O53-P53</f>
        <v>42.2784572857365</v>
      </c>
      <c r="R53" s="33" t="n">
        <f aca="false">R52*(1-Assumptions!$D$22)+P53*(1-Assumptions!$D$21)</f>
        <v>44.1155524779465</v>
      </c>
      <c r="S53" s="33" t="n">
        <f aca="false">Q53+R53</f>
        <v>86.394009763683</v>
      </c>
      <c r="T53" s="33" t="n">
        <f aca="false">T52*(1-Assumptions!$D$24)+M53*Assumptions!$D$23</f>
        <v>9.57061860169721</v>
      </c>
      <c r="U53" s="33" t="n">
        <f aca="false">U52*(1-Assumptions!$D$25)+K53</f>
        <v>0</v>
      </c>
      <c r="V53" s="33" t="n">
        <f aca="false">V52+M53</f>
        <v>68.7365926389416</v>
      </c>
      <c r="W53" s="33" t="n">
        <f aca="false">N53+Q52*Assumptions!$D$20+P53*Assumptions!$D$21+R52*Assumptions!$D$22+T52*Assumptions!$D$24+U52*Assumptions!$D$25</f>
        <v>3.41979886953549</v>
      </c>
      <c r="X53" s="33" t="n">
        <f aca="false">IF(A53&lt;Assumptions!$D$34,0,Assumptions!$D$36*MIN(1,(A53-Assumptions!$D$34+1)/Assumptions!$D$35))*(S53+T53)</f>
        <v>19.1929256730761</v>
      </c>
      <c r="Y53" s="31" t="n">
        <f aca="false">IF(Y52&gt;0,Y52,IF(AND(A53&gt;=Assumptions!$D$41,Q52+R52+T52&gt;=Assumptions!$D$40),A53,0))</f>
        <v>13</v>
      </c>
      <c r="Z53" s="33" t="n">
        <f aca="false">IF(Y53&gt;0,Assumptions!$D$42*MIN(1,(A53-Y53+1)/Assumptions!$D$43),0)*(S53+T53)</f>
        <v>28.7893885096141</v>
      </c>
      <c r="AA53" s="35" t="n">
        <f aca="false">(1+Assumptions!$D$32)^(C53-1)</f>
        <v>1.12550881</v>
      </c>
      <c r="AB53" s="36" t="n">
        <f aca="false">O53*Assumptions!$D$27*AA53</f>
        <v>420.243780715639</v>
      </c>
      <c r="AC53" s="36" t="n">
        <f aca="false">(Q52+R52)*Assumptions!$D$28*AA53</f>
        <v>9493.17871316495</v>
      </c>
      <c r="AD53" s="36" t="n">
        <f aca="false">M53*Assumptions!$D$29*AA53</f>
        <v>1008.6659287018</v>
      </c>
      <c r="AE53" s="36" t="n">
        <f aca="false">T52*Assumptions!$D$30*AA53</f>
        <v>840.907696899087</v>
      </c>
      <c r="AF53" s="36" t="n">
        <f aca="false">U52*Assumptions!$D$31*AA53</f>
        <v>0</v>
      </c>
      <c r="AG53" s="36" t="n">
        <f aca="false">X53*Assumptions!$D$37*Assumptions!$D$38</f>
        <v>1343.50479711532</v>
      </c>
      <c r="AH53" s="36" t="n">
        <f aca="false">Z53*Assumptions!$D$44*Assumptions!$D$45</f>
        <v>863.681655288422</v>
      </c>
      <c r="AI53" s="36" t="n">
        <f aca="false">SUM(AB53:AH53)</f>
        <v>13970.1825718852</v>
      </c>
      <c r="AJ53" s="36" t="n">
        <f aca="false">(S53*Assumptions!$D$28+T53*Assumptions!$D$30+U53*Assumptions!$D$31)*AA53+AG53+AH53</f>
        <v>12684.6445740241</v>
      </c>
      <c r="AK53" s="36" t="n">
        <f aca="false">(AI53-AH53)*Assumptions!$D$49</f>
        <v>498.047034830678</v>
      </c>
      <c r="AL53" s="36" t="n">
        <f aca="false">(AC53+AE53+AF53)*Assumptions!$D$50</f>
        <v>72.3386048704483</v>
      </c>
      <c r="AM53" s="36" t="n">
        <f aca="false">S53*Assumptions!$D$51+M53*Assumptions!$D$52</f>
        <v>134.931989559075</v>
      </c>
      <c r="AN53" s="36" t="n">
        <f aca="false">Assumptions!$D$53+Assumptions!$D$54*(S53+T53+U53)</f>
        <v>437.893885096141</v>
      </c>
      <c r="AO53" s="36" t="n">
        <f aca="false">IF(C53&gt;=2,Assumptions!$D$55,0)</f>
        <v>100</v>
      </c>
      <c r="AP53" s="33" t="n">
        <f aca="false">E53*Assumptions!$D$60/60+F53*Assumptions!$D$61+J53*Assumptions!$D$62+(S53+T53)*Assumptions!$D$63+X53*Assumptions!$D$64+Z53*Assumptions!$D$65+U53*Assumptions!$D$66+Assumptions!$D$67*52/12</f>
        <v>242.560316394981</v>
      </c>
      <c r="AQ53" s="33" t="n">
        <f aca="false">IF(BC52=1,Assumptions!$D$69,Assumptions!$D$68)*52/12</f>
        <v>108.333333333333</v>
      </c>
      <c r="AR53" s="33" t="n">
        <f aca="false">MAX(0,AP53-AQ53)</f>
        <v>134.226983061648</v>
      </c>
      <c r="AS53" s="36" t="n">
        <f aca="false">AR53*Assumptions!$D$70*Assumptions!$D$71</f>
        <v>1510.05355944354</v>
      </c>
      <c r="AT53" s="36" t="n">
        <f aca="false">Assumptions!$D$56/12</f>
        <v>75</v>
      </c>
      <c r="AU53" s="36" t="n">
        <f aca="false">IF(A53=1,Assumptions!$D$57,0)+Assumptions!$D$58</f>
        <v>45</v>
      </c>
      <c r="AV53" s="36" t="n">
        <f aca="false">IF(AND(Y53&gt;0,Y53=A53),Assumptions!$D$46,0)+IF(Y53&gt;0,Assumptions!$D$47,0)</f>
        <v>50</v>
      </c>
      <c r="AW53" s="36" t="n">
        <f aca="false">AK53+AL53+AM53+AN53+AO53+AS53+AT53+AU53+AV53</f>
        <v>2923.26507379988</v>
      </c>
      <c r="AX53" s="36" t="n">
        <f aca="false">AI53-AW53</f>
        <v>11046.9174980853</v>
      </c>
      <c r="AY53" s="36" t="n">
        <f aca="false">MAX(0,AX53)*Assumptions!$D$73</f>
        <v>3093.13689946389</v>
      </c>
      <c r="AZ53" s="36" t="n">
        <f aca="false">AX53-AY53</f>
        <v>7953.78059862144</v>
      </c>
      <c r="BA53" s="36" t="n">
        <f aca="false">BA52+AZ53</f>
        <v>196814.957965022</v>
      </c>
      <c r="BB53" s="31" t="n">
        <f aca="false">IF(AZ53&gt;=Assumptions!$D$74/12,BB52+1,0)</f>
        <v>0</v>
      </c>
      <c r="BC53" s="31" t="n">
        <f aca="false">IF(OR(BC52=1,BB53&gt;=3),1,0)</f>
        <v>0</v>
      </c>
      <c r="BD53" s="31" t="n">
        <f aca="false">IF(AZ53&gt;=Assumptions!$D$75/12,BD52+1,0)</f>
        <v>0</v>
      </c>
      <c r="BE53" s="33" t="n">
        <f aca="false">AP53*12/52</f>
        <v>55.9754576296111</v>
      </c>
      <c r="BF53" s="33" t="n">
        <f aca="false">AR53*12/52</f>
        <v>30.9754576296111</v>
      </c>
      <c r="BG53" s="31" t="n">
        <f aca="false">IF(AX53&gt;0,A53,999)</f>
        <v>49</v>
      </c>
      <c r="BH53" s="31" t="n">
        <f aca="false">IF(BB53&gt;=3,A53,999)</f>
        <v>999</v>
      </c>
      <c r="BI53" s="31" t="n">
        <f aca="false">IF(BD53&gt;=3,A53,999)</f>
        <v>999</v>
      </c>
    </row>
    <row r="54" customFormat="false" ht="15" hidden="false" customHeight="false" outlineLevel="0" collapsed="false">
      <c r="A54" s="31" t="n">
        <v>50</v>
      </c>
      <c r="B54" s="32" t="n">
        <f aca="false">DATE(2026,10+A54,1)</f>
        <v>47818</v>
      </c>
      <c r="C54" s="31" t="n">
        <f aca="false">INT((A54-1)/12)+1</f>
        <v>5</v>
      </c>
      <c r="D54" s="31" t="n">
        <f aca="false">IF(C54=1,Assumptions!$D$7,IF(C54=2,Assumptions!$D$8,Assumptions!$D$9))</f>
        <v>25</v>
      </c>
      <c r="E54" s="31" t="n">
        <f aca="false">D54*Assumptions!$D$10</f>
        <v>525</v>
      </c>
      <c r="F54" s="33" t="n">
        <f aca="false">E54*Assumptions!$D$11</f>
        <v>42</v>
      </c>
      <c r="G54" s="34" t="n">
        <f aca="false">MIN(1,Assumptions!$D$13+(1-Assumptions!$D$13)*(A54-1)/Assumptions!$D$14)</f>
        <v>1</v>
      </c>
      <c r="H54" s="33" t="n">
        <f aca="false">F54*Assumptions!$D$12*G54</f>
        <v>5.04</v>
      </c>
      <c r="I54" s="33" t="n">
        <f aca="false">Assumptions!$D$15*(Q53+R53+T53+U53)</f>
        <v>0.959646283653803</v>
      </c>
      <c r="J54" s="33" t="n">
        <f aca="false">H54+I54</f>
        <v>5.9996462836538</v>
      </c>
      <c r="K54" s="33" t="n">
        <f aca="false">J54*Assumptions!$D$18</f>
        <v>0</v>
      </c>
      <c r="L54" s="33" t="n">
        <f aca="false">(J54-K54)*Assumptions!$D$17</f>
        <v>4.19975239855766</v>
      </c>
      <c r="M54" s="33" t="n">
        <f aca="false">J54-K54-L54</f>
        <v>1.79989388509614</v>
      </c>
      <c r="N54" s="33" t="n">
        <f aca="false">L54*Assumptions!$D$19</f>
        <v>0.419975239855766</v>
      </c>
      <c r="O54" s="33" t="n">
        <f aca="false">L54-N54</f>
        <v>3.7797771587019</v>
      </c>
      <c r="P54" s="33" t="n">
        <f aca="false">O42*(1-Assumptions!$D$20)^12</f>
        <v>3.24717660587197</v>
      </c>
      <c r="Q54" s="33" t="n">
        <f aca="false">Q53*(1-Assumptions!$D$20)+O54-P54</f>
        <v>42.3882732657091</v>
      </c>
      <c r="R54" s="33" t="n">
        <f aca="false">R53*(1-Assumptions!$D$22)+P54*(1-Assumptions!$D$21)</f>
        <v>45.169249425916</v>
      </c>
      <c r="S54" s="33" t="n">
        <f aca="false">Q54+R54</f>
        <v>87.5575226916251</v>
      </c>
      <c r="T54" s="33" t="n">
        <f aca="false">T53*(1-Assumptions!$D$24)+M54*Assumptions!$D$23</f>
        <v>9.67990893014967</v>
      </c>
      <c r="U54" s="33" t="n">
        <f aca="false">U53*(1-Assumptions!$D$25)+K54</f>
        <v>0</v>
      </c>
      <c r="V54" s="33" t="n">
        <f aca="false">V53+M54</f>
        <v>70.5364865240377</v>
      </c>
      <c r="W54" s="33" t="n">
        <f aca="false">N54+Q53*Assumptions!$D$20+P54*Assumptions!$D$21+R53*Assumptions!$D$22+T53*Assumptions!$D$24+U53*Assumptions!$D$25</f>
        <v>3.46691730769203</v>
      </c>
      <c r="X54" s="33" t="n">
        <f aca="false">IF(A54&lt;Assumptions!$D$34,0,Assumptions!$D$36*MIN(1,(A54-Assumptions!$D$34+1)/Assumptions!$D$35))*(S54+T54)</f>
        <v>19.4474863243549</v>
      </c>
      <c r="Y54" s="31" t="n">
        <f aca="false">IF(Y53&gt;0,Y53,IF(AND(A54&gt;=Assumptions!$D$41,Q53+R53+T53&gt;=Assumptions!$D$40),A54,0))</f>
        <v>13</v>
      </c>
      <c r="Z54" s="33" t="n">
        <f aca="false">IF(Y54&gt;0,Assumptions!$D$42*MIN(1,(A54-Y54+1)/Assumptions!$D$43),0)*(S54+T54)</f>
        <v>29.1712294865324</v>
      </c>
      <c r="AA54" s="35" t="n">
        <f aca="false">(1+Assumptions!$D$32)^(C54-1)</f>
        <v>1.12550881</v>
      </c>
      <c r="AB54" s="36" t="n">
        <f aca="false">O54*Assumptions!$D$27*AA54</f>
        <v>421.16307670362</v>
      </c>
      <c r="AC54" s="36" t="n">
        <f aca="false">(Q53+R53)*Assumptions!$D$28*AA54</f>
        <v>9626.48469290488</v>
      </c>
      <c r="AD54" s="36" t="n">
        <f aca="false">M54*Assumptions!$D$29*AA54</f>
        <v>1010.87241594568</v>
      </c>
      <c r="AE54" s="36" t="n">
        <f aca="false">T53*Assumptions!$D$30*AA54</f>
        <v>850.973428715447</v>
      </c>
      <c r="AF54" s="36" t="n">
        <f aca="false">U53*Assumptions!$D$31*AA54</f>
        <v>0</v>
      </c>
      <c r="AG54" s="36" t="n">
        <f aca="false">X54*Assumptions!$D$37*Assumptions!$D$38</f>
        <v>1361.32404270485</v>
      </c>
      <c r="AH54" s="36" t="n">
        <f aca="false">Z54*Assumptions!$D$44*Assumptions!$D$45</f>
        <v>875.136884595973</v>
      </c>
      <c r="AI54" s="36" t="n">
        <f aca="false">SUM(AB54:AH54)</f>
        <v>14145.9545415704</v>
      </c>
      <c r="AJ54" s="36" t="n">
        <f aca="false">(S54*Assumptions!$D$28+T54*Assumptions!$D$30+U54*Assumptions!$D$31)*AA54+AG54+AH54</f>
        <v>12853.2814809391</v>
      </c>
      <c r="AK54" s="36" t="n">
        <f aca="false">(AI54-AH54)*Assumptions!$D$49</f>
        <v>504.29107096503</v>
      </c>
      <c r="AL54" s="36" t="n">
        <f aca="false">(AC54+AE54+AF54)*Assumptions!$D$50</f>
        <v>73.3422068513423</v>
      </c>
      <c r="AM54" s="36" t="n">
        <f aca="false">S54*Assumptions!$D$51+M54*Assumptions!$D$52</f>
        <v>136.445311640973</v>
      </c>
      <c r="AN54" s="36" t="n">
        <f aca="false">Assumptions!$D$53+Assumptions!$D$54*(S54+T54+U54)</f>
        <v>441.712294865324</v>
      </c>
      <c r="AO54" s="36" t="n">
        <f aca="false">IF(C54&gt;=2,Assumptions!$D$55,0)</f>
        <v>100</v>
      </c>
      <c r="AP54" s="33" t="n">
        <f aca="false">E54*Assumptions!$D$60/60+F54*Assumptions!$D$61+J54*Assumptions!$D$62+(S54+T54)*Assumptions!$D$63+X54*Assumptions!$D$64+Z54*Assumptions!$D$65+U54*Assumptions!$D$66+Assumptions!$D$67*52/12</f>
        <v>244.845733695958</v>
      </c>
      <c r="AQ54" s="33" t="n">
        <f aca="false">IF(BC53=1,Assumptions!$D$69,Assumptions!$D$68)*52/12</f>
        <v>108.333333333333</v>
      </c>
      <c r="AR54" s="33" t="n">
        <f aca="false">MAX(0,AP54-AQ54)</f>
        <v>136.512400362624</v>
      </c>
      <c r="AS54" s="36" t="n">
        <f aca="false">AR54*Assumptions!$D$70*Assumptions!$D$71</f>
        <v>1535.76450407952</v>
      </c>
      <c r="AT54" s="36" t="n">
        <f aca="false">Assumptions!$D$56/12</f>
        <v>75</v>
      </c>
      <c r="AU54" s="36" t="n">
        <f aca="false">IF(A54=1,Assumptions!$D$57,0)+Assumptions!$D$58</f>
        <v>45</v>
      </c>
      <c r="AV54" s="36" t="n">
        <f aca="false">IF(AND(Y54&gt;0,Y54=A54),Assumptions!$D$46,0)+IF(Y54&gt;0,Assumptions!$D$47,0)</f>
        <v>50</v>
      </c>
      <c r="AW54" s="36" t="n">
        <f aca="false">AK54+AL54+AM54+AN54+AO54+AS54+AT54+AU54+AV54</f>
        <v>2961.55538840219</v>
      </c>
      <c r="AX54" s="36" t="n">
        <f aca="false">AI54-AW54</f>
        <v>11184.3991531682</v>
      </c>
      <c r="AY54" s="36" t="n">
        <f aca="false">MAX(0,AX54)*Assumptions!$D$73</f>
        <v>3131.63176288711</v>
      </c>
      <c r="AZ54" s="36" t="n">
        <f aca="false">AX54-AY54</f>
        <v>8052.76739028114</v>
      </c>
      <c r="BA54" s="36" t="n">
        <f aca="false">BA53+AZ54</f>
        <v>204867.725355303</v>
      </c>
      <c r="BB54" s="31" t="n">
        <f aca="false">IF(AZ54&gt;=Assumptions!$D$74/12,BB53+1,0)</f>
        <v>0</v>
      </c>
      <c r="BC54" s="31" t="n">
        <f aca="false">IF(OR(BC53=1,BB54&gt;=3),1,0)</f>
        <v>0</v>
      </c>
      <c r="BD54" s="31" t="n">
        <f aca="false">IF(AZ54&gt;=Assumptions!$D$75/12,BD53+1,0)</f>
        <v>0</v>
      </c>
      <c r="BE54" s="33" t="n">
        <f aca="false">AP54*12/52</f>
        <v>56.5028616221441</v>
      </c>
      <c r="BF54" s="33" t="n">
        <f aca="false">AR54*12/52</f>
        <v>31.5028616221441</v>
      </c>
      <c r="BG54" s="31" t="n">
        <f aca="false">IF(AX54&gt;0,A54,999)</f>
        <v>50</v>
      </c>
      <c r="BH54" s="31" t="n">
        <f aca="false">IF(BB54&gt;=3,A54,999)</f>
        <v>999</v>
      </c>
      <c r="BI54" s="31" t="n">
        <f aca="false">IF(BD54&gt;=3,A54,999)</f>
        <v>999</v>
      </c>
    </row>
    <row r="55" customFormat="false" ht="15" hidden="false" customHeight="false" outlineLevel="0" collapsed="false">
      <c r="A55" s="31" t="n">
        <v>51</v>
      </c>
      <c r="B55" s="32" t="n">
        <f aca="false">DATE(2026,10+A55,1)</f>
        <v>47849</v>
      </c>
      <c r="C55" s="31" t="n">
        <f aca="false">INT((A55-1)/12)+1</f>
        <v>5</v>
      </c>
      <c r="D55" s="31" t="n">
        <f aca="false">IF(C55=1,Assumptions!$D$7,IF(C55=2,Assumptions!$D$8,Assumptions!$D$9))</f>
        <v>25</v>
      </c>
      <c r="E55" s="31" t="n">
        <f aca="false">D55*Assumptions!$D$10</f>
        <v>525</v>
      </c>
      <c r="F55" s="33" t="n">
        <f aca="false">E55*Assumptions!$D$11</f>
        <v>42</v>
      </c>
      <c r="G55" s="34" t="n">
        <f aca="false">MIN(1,Assumptions!$D$13+(1-Assumptions!$D$13)*(A55-1)/Assumptions!$D$14)</f>
        <v>1</v>
      </c>
      <c r="H55" s="33" t="n">
        <f aca="false">F55*Assumptions!$D$12*G55</f>
        <v>5.04</v>
      </c>
      <c r="I55" s="33" t="n">
        <f aca="false">Assumptions!$D$15*(Q54+R54+T54+U54)</f>
        <v>0.972374316217747</v>
      </c>
      <c r="J55" s="33" t="n">
        <f aca="false">H55+I55</f>
        <v>6.01237431621775</v>
      </c>
      <c r="K55" s="33" t="n">
        <f aca="false">J55*Assumptions!$D$18</f>
        <v>0</v>
      </c>
      <c r="L55" s="33" t="n">
        <f aca="false">(J55-K55)*Assumptions!$D$17</f>
        <v>4.20866202135242</v>
      </c>
      <c r="M55" s="33" t="n">
        <f aca="false">J55-K55-L55</f>
        <v>1.80371229486532</v>
      </c>
      <c r="N55" s="33" t="n">
        <f aca="false">L55*Assumptions!$D$19</f>
        <v>0.420866202135242</v>
      </c>
      <c r="O55" s="33" t="n">
        <f aca="false">L55-N55</f>
        <v>3.78779581921718</v>
      </c>
      <c r="P55" s="33" t="n">
        <f aca="false">O43*(1-Assumptions!$D$20)^12</f>
        <v>3.2571838987015</v>
      </c>
      <c r="Q55" s="33" t="n">
        <f aca="false">Q54*(1-Assumptions!$D$20)+O55-P55</f>
        <v>42.4950024535677</v>
      </c>
      <c r="R55" s="33" t="n">
        <f aca="false">R54*(1-Assumptions!$D$22)+P55*(1-Assumptions!$D$21)</f>
        <v>46.1940728149701</v>
      </c>
      <c r="S55" s="33" t="n">
        <f aca="false">Q55+R55</f>
        <v>88.6890752685378</v>
      </c>
      <c r="T55" s="33" t="n">
        <f aca="false">T54*(1-Assumptions!$D$24)+M55*Assumptions!$D$23</f>
        <v>9.78542671675254</v>
      </c>
      <c r="U55" s="33" t="n">
        <f aca="false">U54*(1-Assumptions!$D$25)+K55</f>
        <v>0</v>
      </c>
      <c r="V55" s="33" t="n">
        <f aca="false">V54+M55</f>
        <v>72.340198818903</v>
      </c>
      <c r="W55" s="33" t="n">
        <f aca="false">N55+Q54*Assumptions!$D$20+P55*Assumptions!$D$21+R54*Assumptions!$D$22+T54*Assumptions!$D$24+U54*Assumptions!$D$25</f>
        <v>3.51270534629643</v>
      </c>
      <c r="X55" s="33" t="n">
        <f aca="false">IF(A55&lt;Assumptions!$D$34,0,Assumptions!$D$36*MIN(1,(A55-Assumptions!$D$34+1)/Assumptions!$D$35))*(S55+T55)</f>
        <v>19.6949003970581</v>
      </c>
      <c r="Y55" s="31" t="n">
        <f aca="false">IF(Y54&gt;0,Y54,IF(AND(A55&gt;=Assumptions!$D$41,Q54+R54+T54&gt;=Assumptions!$D$40),A55,0))</f>
        <v>13</v>
      </c>
      <c r="Z55" s="33" t="n">
        <f aca="false">IF(Y55&gt;0,Assumptions!$D$42*MIN(1,(A55-Y55+1)/Assumptions!$D$43),0)*(S55+T55)</f>
        <v>29.5423505955871</v>
      </c>
      <c r="AA55" s="35" t="n">
        <f aca="false">(1+Assumptions!$D$32)^(C55-1)</f>
        <v>1.12550881</v>
      </c>
      <c r="AB55" s="36" t="n">
        <f aca="false">O55*Assumptions!$D$27*AA55</f>
        <v>422.056558936</v>
      </c>
      <c r="AC55" s="36" t="n">
        <f aca="false">(Q54+R54)*Assumptions!$D$28*AA55</f>
        <v>9756.1295539487</v>
      </c>
      <c r="AD55" s="36" t="n">
        <f aca="false">M55*Assumptions!$D$29*AA55</f>
        <v>1013.01694520954</v>
      </c>
      <c r="AE55" s="36" t="n">
        <f aca="false">T54*Assumptions!$D$30*AA55</f>
        <v>860.69099968961</v>
      </c>
      <c r="AF55" s="36" t="n">
        <f aca="false">U54*Assumptions!$D$31*AA55</f>
        <v>0</v>
      </c>
      <c r="AG55" s="36" t="n">
        <f aca="false">X55*Assumptions!$D$37*Assumptions!$D$38</f>
        <v>1378.64302779406</v>
      </c>
      <c r="AH55" s="36" t="n">
        <f aca="false">Z55*Assumptions!$D$44*Assumptions!$D$45</f>
        <v>886.270517867613</v>
      </c>
      <c r="AI55" s="36" t="n">
        <f aca="false">SUM(AB55:AH55)</f>
        <v>14316.8076034455</v>
      </c>
      <c r="AJ55" s="36" t="n">
        <f aca="false">(S55*Assumptions!$D$28+T55*Assumptions!$D$30+U55*Assumptions!$D$31)*AA55+AG55+AH55</f>
        <v>13017.1999010113</v>
      </c>
      <c r="AK55" s="36" t="n">
        <f aca="false">(AI55-AH55)*Assumptions!$D$49</f>
        <v>510.360409251961</v>
      </c>
      <c r="AL55" s="36" t="n">
        <f aca="false">(AC55+AE55+AF55)*Assumptions!$D$50</f>
        <v>74.3177438754681</v>
      </c>
      <c r="AM55" s="36" t="n">
        <f aca="false">S55*Assumptions!$D$51+M55*Assumptions!$D$52</f>
        <v>137.917028508652</v>
      </c>
      <c r="AN55" s="36" t="n">
        <f aca="false">Assumptions!$D$53+Assumptions!$D$54*(S55+T55+U55)</f>
        <v>445.423505955871</v>
      </c>
      <c r="AO55" s="36" t="n">
        <f aca="false">IF(C55&gt;=2,Assumptions!$D$55,0)</f>
        <v>100</v>
      </c>
      <c r="AP55" s="33" t="n">
        <f aca="false">E55*Assumptions!$D$60/60+F55*Assumptions!$D$61+J55*Assumptions!$D$62+(S55+T55)*Assumptions!$D$63+X55*Assumptions!$D$64+Z55*Assumptions!$D$65+U55*Assumptions!$D$66+Assumptions!$D$67*52/12</f>
        <v>247.066989656326</v>
      </c>
      <c r="AQ55" s="33" t="n">
        <f aca="false">IF(BC54=1,Assumptions!$D$69,Assumptions!$D$68)*52/12</f>
        <v>108.333333333333</v>
      </c>
      <c r="AR55" s="33" t="n">
        <f aca="false">MAX(0,AP55-AQ55)</f>
        <v>138.733656322993</v>
      </c>
      <c r="AS55" s="36" t="n">
        <f aca="false">AR55*Assumptions!$D$70*Assumptions!$D$71</f>
        <v>1560.75363363367</v>
      </c>
      <c r="AT55" s="36" t="n">
        <f aca="false">Assumptions!$D$56/12</f>
        <v>75</v>
      </c>
      <c r="AU55" s="36" t="n">
        <f aca="false">IF(A55=1,Assumptions!$D$57,0)+Assumptions!$D$58</f>
        <v>45</v>
      </c>
      <c r="AV55" s="36" t="n">
        <f aca="false">IF(AND(Y55&gt;0,Y55=A55),Assumptions!$D$46,0)+IF(Y55&gt;0,Assumptions!$D$47,0)</f>
        <v>50</v>
      </c>
      <c r="AW55" s="36" t="n">
        <f aca="false">AK55+AL55+AM55+AN55+AO55+AS55+AT55+AU55+AV55</f>
        <v>2998.77232122562</v>
      </c>
      <c r="AX55" s="36" t="n">
        <f aca="false">AI55-AW55</f>
        <v>11318.0352822199</v>
      </c>
      <c r="AY55" s="36" t="n">
        <f aca="false">MAX(0,AX55)*Assumptions!$D$73</f>
        <v>3169.04987902157</v>
      </c>
      <c r="AZ55" s="36" t="n">
        <f aca="false">AX55-AY55</f>
        <v>8148.98540319833</v>
      </c>
      <c r="BA55" s="36" t="n">
        <f aca="false">BA54+AZ55</f>
        <v>213016.710758501</v>
      </c>
      <c r="BB55" s="31" t="n">
        <f aca="false">IF(AZ55&gt;=Assumptions!$D$74/12,BB54+1,0)</f>
        <v>0</v>
      </c>
      <c r="BC55" s="31" t="n">
        <f aca="false">IF(OR(BC54=1,BB55&gt;=3),1,0)</f>
        <v>0</v>
      </c>
      <c r="BD55" s="31" t="n">
        <f aca="false">IF(AZ55&gt;=Assumptions!$D$75/12,BD54+1,0)</f>
        <v>0</v>
      </c>
      <c r="BE55" s="33" t="n">
        <f aca="false">AP55*12/52</f>
        <v>57.0154591514598</v>
      </c>
      <c r="BF55" s="33" t="n">
        <f aca="false">AR55*12/52</f>
        <v>32.0154591514598</v>
      </c>
      <c r="BG55" s="31" t="n">
        <f aca="false">IF(AX55&gt;0,A55,999)</f>
        <v>51</v>
      </c>
      <c r="BH55" s="31" t="n">
        <f aca="false">IF(BB55&gt;=3,A55,999)</f>
        <v>999</v>
      </c>
      <c r="BI55" s="31" t="n">
        <f aca="false">IF(BD55&gt;=3,A55,999)</f>
        <v>999</v>
      </c>
    </row>
    <row r="56" customFormat="false" ht="15" hidden="false" customHeight="false" outlineLevel="0" collapsed="false">
      <c r="A56" s="31" t="n">
        <v>52</v>
      </c>
      <c r="B56" s="32" t="n">
        <f aca="false">DATE(2026,10+A56,1)</f>
        <v>47880</v>
      </c>
      <c r="C56" s="31" t="n">
        <f aca="false">INT((A56-1)/12)+1</f>
        <v>5</v>
      </c>
      <c r="D56" s="31" t="n">
        <f aca="false">IF(C56=1,Assumptions!$D$7,IF(C56=2,Assumptions!$D$8,Assumptions!$D$9))</f>
        <v>25</v>
      </c>
      <c r="E56" s="31" t="n">
        <f aca="false">D56*Assumptions!$D$10</f>
        <v>525</v>
      </c>
      <c r="F56" s="33" t="n">
        <f aca="false">E56*Assumptions!$D$11</f>
        <v>42</v>
      </c>
      <c r="G56" s="34" t="n">
        <f aca="false">MIN(1,Assumptions!$D$13+(1-Assumptions!$D$13)*(A56-1)/Assumptions!$D$14)</f>
        <v>1</v>
      </c>
      <c r="H56" s="33" t="n">
        <f aca="false">F56*Assumptions!$D$12*G56</f>
        <v>5.04</v>
      </c>
      <c r="I56" s="33" t="n">
        <f aca="false">Assumptions!$D$15*(Q55+R55+T55+U55)</f>
        <v>0.984745019852903</v>
      </c>
      <c r="J56" s="33" t="n">
        <f aca="false">H56+I56</f>
        <v>6.0247450198529</v>
      </c>
      <c r="K56" s="33" t="n">
        <f aca="false">J56*Assumptions!$D$18</f>
        <v>0</v>
      </c>
      <c r="L56" s="33" t="n">
        <f aca="false">(J56-K56)*Assumptions!$D$17</f>
        <v>4.21732151389703</v>
      </c>
      <c r="M56" s="33" t="n">
        <f aca="false">J56-K56-L56</f>
        <v>1.80742350595587</v>
      </c>
      <c r="N56" s="33" t="n">
        <f aca="false">L56*Assumptions!$D$19</f>
        <v>0.421732151389703</v>
      </c>
      <c r="O56" s="33" t="n">
        <f aca="false">L56-N56</f>
        <v>3.79558936250733</v>
      </c>
      <c r="P56" s="33" t="n">
        <f aca="false">O44*(1-Assumptions!$D$20)^12</f>
        <v>3.2669100524805</v>
      </c>
      <c r="Q56" s="33" t="n">
        <f aca="false">Q55*(1-Assumptions!$D$20)+O56-P56</f>
        <v>42.5987317390588</v>
      </c>
      <c r="R56" s="33" t="n">
        <f aca="false">R55*(1-Assumptions!$D$22)+P56*(1-Assumptions!$D$21)</f>
        <v>47.1908083084306</v>
      </c>
      <c r="S56" s="33" t="n">
        <f aca="false">Q56+R56</f>
        <v>89.7895400474894</v>
      </c>
      <c r="T56" s="33" t="n">
        <f aca="false">T55*(1-Assumptions!$D$24)+M56*Assumptions!$D$23</f>
        <v>9.88730956628543</v>
      </c>
      <c r="U56" s="33" t="n">
        <f aca="false">U55*(1-Assumptions!$D$25)+K56</f>
        <v>0</v>
      </c>
      <c r="V56" s="33" t="n">
        <f aca="false">V55+M56</f>
        <v>74.1476223248589</v>
      </c>
      <c r="W56" s="33" t="n">
        <f aca="false">N56+Q55*Assumptions!$D$20+P56*Assumptions!$D$21+R55*Assumptions!$D$22+T55*Assumptions!$D$24+U55*Assumptions!$D$25</f>
        <v>3.5572009371993</v>
      </c>
      <c r="X56" s="33" t="n">
        <f aca="false">IF(A56&lt;Assumptions!$D$34,0,Assumptions!$D$36*MIN(1,(A56-Assumptions!$D$34+1)/Assumptions!$D$35))*(S56+T56)</f>
        <v>19.935369922755</v>
      </c>
      <c r="Y56" s="31" t="n">
        <f aca="false">IF(Y55&gt;0,Y55,IF(AND(A56&gt;=Assumptions!$D$41,Q55+R55+T55&gt;=Assumptions!$D$40),A56,0))</f>
        <v>13</v>
      </c>
      <c r="Z56" s="33" t="n">
        <f aca="false">IF(Y56&gt;0,Assumptions!$D$42*MIN(1,(A56-Y56+1)/Assumptions!$D$43),0)*(S56+T56)</f>
        <v>29.9030548841324</v>
      </c>
      <c r="AA56" s="35" t="n">
        <f aca="false">(1+Assumptions!$D$32)^(C56-1)</f>
        <v>1.12550881</v>
      </c>
      <c r="AB56" s="36" t="n">
        <f aca="false">O56*Assumptions!$D$27*AA56</f>
        <v>422.924957397784</v>
      </c>
      <c r="AC56" s="36" t="n">
        <f aca="false">(Q55+R55)*Assumptions!$D$28*AA56</f>
        <v>9882.21322098375</v>
      </c>
      <c r="AD56" s="36" t="n">
        <f aca="false">M56*Assumptions!$D$29*AA56</f>
        <v>1015.10126859786</v>
      </c>
      <c r="AE56" s="36" t="n">
        <f aca="false">T55*Assumptions!$D$30*AA56</f>
        <v>870.073134365834</v>
      </c>
      <c r="AF56" s="36" t="n">
        <f aca="false">U55*Assumptions!$D$31*AA56</f>
        <v>0</v>
      </c>
      <c r="AG56" s="36" t="n">
        <f aca="false">X56*Assumptions!$D$37*Assumptions!$D$38</f>
        <v>1395.47589459285</v>
      </c>
      <c r="AH56" s="36" t="n">
        <f aca="false">Z56*Assumptions!$D$44*Assumptions!$D$45</f>
        <v>897.091646523974</v>
      </c>
      <c r="AI56" s="36" t="n">
        <f aca="false">SUM(AB56:AH56)</f>
        <v>14482.880122462</v>
      </c>
      <c r="AJ56" s="36" t="n">
        <f aca="false">(S56*Assumptions!$D$28+T56*Assumptions!$D$30+U56*Assumptions!$D$31)*AA56+AG56+AH56</f>
        <v>13176.5325275773</v>
      </c>
      <c r="AK56" s="36" t="n">
        <f aca="false">(AI56-AH56)*Assumptions!$D$49</f>
        <v>516.259962085647</v>
      </c>
      <c r="AL56" s="36" t="n">
        <f aca="false">(AC56+AE56+AF56)*Assumptions!$D$50</f>
        <v>75.2660044874471</v>
      </c>
      <c r="AM56" s="36" t="n">
        <f aca="false">S56*Assumptions!$D$51+M56*Assumptions!$D$52</f>
        <v>139.3482776487</v>
      </c>
      <c r="AN56" s="36" t="n">
        <f aca="false">Assumptions!$D$53+Assumptions!$D$54*(S56+T56+U56)</f>
        <v>449.030548841325</v>
      </c>
      <c r="AO56" s="36" t="n">
        <f aca="false">IF(C56&gt;=2,Assumptions!$D$55,0)</f>
        <v>100</v>
      </c>
      <c r="AP56" s="33" t="n">
        <f aca="false">E56*Assumptions!$D$60/60+F56*Assumptions!$D$61+J56*Assumptions!$D$62+(S56+T56)*Assumptions!$D$63+X56*Assumptions!$D$64+Z56*Assumptions!$D$65+U56*Assumptions!$D$66+Assumptions!$D$67*52/12</f>
        <v>249.225898104156</v>
      </c>
      <c r="AQ56" s="33" t="n">
        <f aca="false">IF(BC55=1,Assumptions!$D$69,Assumptions!$D$68)*52/12</f>
        <v>108.333333333333</v>
      </c>
      <c r="AR56" s="33" t="n">
        <f aca="false">MAX(0,AP56-AQ56)</f>
        <v>140.892564770823</v>
      </c>
      <c r="AS56" s="36" t="n">
        <f aca="false">AR56*Assumptions!$D$70*Assumptions!$D$71</f>
        <v>1585.04135367176</v>
      </c>
      <c r="AT56" s="36" t="n">
        <f aca="false">Assumptions!$D$56/12</f>
        <v>75</v>
      </c>
      <c r="AU56" s="36" t="n">
        <f aca="false">IF(A56=1,Assumptions!$D$57,0)+Assumptions!$D$58</f>
        <v>45</v>
      </c>
      <c r="AV56" s="36" t="n">
        <f aca="false">IF(AND(Y56&gt;0,Y56=A56),Assumptions!$D$46,0)+IF(Y56&gt;0,Assumptions!$D$47,0)</f>
        <v>50</v>
      </c>
      <c r="AW56" s="36" t="n">
        <f aca="false">AK56+AL56+AM56+AN56+AO56+AS56+AT56+AU56+AV56</f>
        <v>3034.94614673487</v>
      </c>
      <c r="AX56" s="36" t="n">
        <f aca="false">AI56-AW56</f>
        <v>11447.9339757272</v>
      </c>
      <c r="AY56" s="36" t="n">
        <f aca="false">MAX(0,AX56)*Assumptions!$D$73</f>
        <v>3205.42151320361</v>
      </c>
      <c r="AZ56" s="36" t="n">
        <f aca="false">AX56-AY56</f>
        <v>8242.51246252356</v>
      </c>
      <c r="BA56" s="36" t="n">
        <f aca="false">BA55+AZ56</f>
        <v>221259.223221025</v>
      </c>
      <c r="BB56" s="31" t="n">
        <f aca="false">IF(AZ56&gt;=Assumptions!$D$74/12,BB55+1,0)</f>
        <v>0</v>
      </c>
      <c r="BC56" s="31" t="n">
        <f aca="false">IF(OR(BC55=1,BB56&gt;=3),1,0)</f>
        <v>0</v>
      </c>
      <c r="BD56" s="31" t="n">
        <f aca="false">IF(AZ56&gt;=Assumptions!$D$75/12,BD55+1,0)</f>
        <v>0</v>
      </c>
      <c r="BE56" s="33" t="n">
        <f aca="false">AP56*12/52</f>
        <v>57.5136687932668</v>
      </c>
      <c r="BF56" s="33" t="n">
        <f aca="false">AR56*12/52</f>
        <v>32.5136687932668</v>
      </c>
      <c r="BG56" s="31" t="n">
        <f aca="false">IF(AX56&gt;0,A56,999)</f>
        <v>52</v>
      </c>
      <c r="BH56" s="31" t="n">
        <f aca="false">IF(BB56&gt;=3,A56,999)</f>
        <v>999</v>
      </c>
      <c r="BI56" s="31" t="n">
        <f aca="false">IF(BD56&gt;=3,A56,999)</f>
        <v>999</v>
      </c>
    </row>
    <row r="57" customFormat="false" ht="15" hidden="false" customHeight="false" outlineLevel="0" collapsed="false">
      <c r="A57" s="31" t="n">
        <v>53</v>
      </c>
      <c r="B57" s="32" t="n">
        <f aca="false">DATE(2026,10+A57,1)</f>
        <v>47908</v>
      </c>
      <c r="C57" s="31" t="n">
        <f aca="false">INT((A57-1)/12)+1</f>
        <v>5</v>
      </c>
      <c r="D57" s="31" t="n">
        <f aca="false">IF(C57=1,Assumptions!$D$7,IF(C57=2,Assumptions!$D$8,Assumptions!$D$9))</f>
        <v>25</v>
      </c>
      <c r="E57" s="31" t="n">
        <f aca="false">D57*Assumptions!$D$10</f>
        <v>525</v>
      </c>
      <c r="F57" s="33" t="n">
        <f aca="false">E57*Assumptions!$D$11</f>
        <v>42</v>
      </c>
      <c r="G57" s="34" t="n">
        <f aca="false">MIN(1,Assumptions!$D$13+(1-Assumptions!$D$13)*(A57-1)/Assumptions!$D$14)</f>
        <v>1</v>
      </c>
      <c r="H57" s="33" t="n">
        <f aca="false">F57*Assumptions!$D$12*G57</f>
        <v>5.04</v>
      </c>
      <c r="I57" s="33" t="n">
        <f aca="false">Assumptions!$D$15*(Q56+R56+T56+U56)</f>
        <v>0.996768496137748</v>
      </c>
      <c r="J57" s="33" t="n">
        <f aca="false">H57+I57</f>
        <v>6.03676849613775</v>
      </c>
      <c r="K57" s="33" t="n">
        <f aca="false">J57*Assumptions!$D$18</f>
        <v>0</v>
      </c>
      <c r="L57" s="33" t="n">
        <f aca="false">(J57-K57)*Assumptions!$D$17</f>
        <v>4.22573794729642</v>
      </c>
      <c r="M57" s="33" t="n">
        <f aca="false">J57-K57-L57</f>
        <v>1.81103054884133</v>
      </c>
      <c r="N57" s="33" t="n">
        <f aca="false">L57*Assumptions!$D$19</f>
        <v>0.422573794729642</v>
      </c>
      <c r="O57" s="33" t="n">
        <f aca="false">L57-N57</f>
        <v>3.80316415256678</v>
      </c>
      <c r="P57" s="33" t="n">
        <f aca="false">O45*(1-Assumptions!$D$20)^12</f>
        <v>3.27636297807574</v>
      </c>
      <c r="Q57" s="33" t="n">
        <f aca="false">Q56*(1-Assumptions!$D$20)+O57-P57</f>
        <v>42.6995455961593</v>
      </c>
      <c r="R57" s="33" t="n">
        <f aca="false">R56*(1-Assumptions!$D$22)+P57*(1-Assumptions!$D$21)</f>
        <v>48.1602204000961</v>
      </c>
      <c r="S57" s="33" t="n">
        <f aca="false">Q57+R57</f>
        <v>90.8597659962554</v>
      </c>
      <c r="T57" s="33" t="n">
        <f aca="false">T56*(1-Assumptions!$D$24)+M57*Assumptions!$D$23</f>
        <v>9.98568980045499</v>
      </c>
      <c r="U57" s="33" t="n">
        <f aca="false">U56*(1-Assumptions!$D$25)+K57</f>
        <v>0</v>
      </c>
      <c r="V57" s="33" t="n">
        <f aca="false">V56+M57</f>
        <v>75.9586528737002</v>
      </c>
      <c r="W57" s="33" t="n">
        <f aca="false">N57+Q56*Assumptions!$D$20+P57*Assumptions!$D$21+R56*Assumptions!$D$22+T56*Assumptions!$D$24+U56*Assumptions!$D$25</f>
        <v>3.60044092901329</v>
      </c>
      <c r="X57" s="33" t="n">
        <f aca="false">IF(A57&lt;Assumptions!$D$34,0,Assumptions!$D$36*MIN(1,(A57-Assumptions!$D$34+1)/Assumptions!$D$35))*(S57+T57)</f>
        <v>20.1690911593421</v>
      </c>
      <c r="Y57" s="31" t="n">
        <f aca="false">IF(Y56&gt;0,Y56,IF(AND(A57&gt;=Assumptions!$D$41,Q56+R56+T56&gt;=Assumptions!$D$40),A57,0))</f>
        <v>13</v>
      </c>
      <c r="Z57" s="33" t="n">
        <f aca="false">IF(Y57&gt;0,Assumptions!$D$42*MIN(1,(A57-Y57+1)/Assumptions!$D$43),0)*(S57+T57)</f>
        <v>30.2536367390131</v>
      </c>
      <c r="AA57" s="35" t="n">
        <f aca="false">(1+Assumptions!$D$32)^(C57-1)</f>
        <v>1.12550881</v>
      </c>
      <c r="AB57" s="36" t="n">
        <f aca="false">O57*Assumptions!$D$27*AA57</f>
        <v>423.76898119942</v>
      </c>
      <c r="AC57" s="36" t="n">
        <f aca="false">(Q56+R56)*Assumptions!$D$28*AA57</f>
        <v>10004.8329185604</v>
      </c>
      <c r="AD57" s="36" t="n">
        <f aca="false">M57*Assumptions!$D$29*AA57</f>
        <v>1017.12708811212</v>
      </c>
      <c r="AE57" s="36" t="n">
        <f aca="false">T56*Assumptions!$D$30*AA57</f>
        <v>879.132067900071</v>
      </c>
      <c r="AF57" s="36" t="n">
        <f aca="false">U56*Assumptions!$D$31*AA57</f>
        <v>0</v>
      </c>
      <c r="AG57" s="36" t="n">
        <f aca="false">X57*Assumptions!$D$37*Assumptions!$D$38</f>
        <v>1411.83638115395</v>
      </c>
      <c r="AH57" s="36" t="n">
        <f aca="false">Z57*Assumptions!$D$44*Assumptions!$D$45</f>
        <v>907.609102170393</v>
      </c>
      <c r="AI57" s="36" t="n">
        <f aca="false">SUM(AB57:AH57)</f>
        <v>14644.3065390964</v>
      </c>
      <c r="AJ57" s="36" t="n">
        <f aca="false">(S57*Assumptions!$D$28+T57*Assumptions!$D$30+U57*Assumptions!$D$31)*AA57+AG57+AH57</f>
        <v>13331.4082922562</v>
      </c>
      <c r="AK57" s="36" t="n">
        <f aca="false">(AI57-AH57)*Assumptions!$D$49</f>
        <v>521.994502603187</v>
      </c>
      <c r="AL57" s="36" t="n">
        <f aca="false">(AC57+AE57+AF57)*Assumptions!$D$50</f>
        <v>76.1877549052234</v>
      </c>
      <c r="AM57" s="36" t="n">
        <f aca="false">S57*Assumptions!$D$51+M57*Assumptions!$D$52</f>
        <v>140.740165727939</v>
      </c>
      <c r="AN57" s="36" t="n">
        <f aca="false">Assumptions!$D$53+Assumptions!$D$54*(S57+T57+U57)</f>
        <v>452.536367390131</v>
      </c>
      <c r="AO57" s="36" t="n">
        <f aca="false">IF(C57&gt;=2,Assumptions!$D$55,0)</f>
        <v>100</v>
      </c>
      <c r="AP57" s="33" t="n">
        <f aca="false">E57*Assumptions!$D$60/60+F57*Assumptions!$D$61+J57*Assumptions!$D$62+(S57+T57)*Assumptions!$D$63+X57*Assumptions!$D$64+Z57*Assumptions!$D$65+U57*Assumptions!$D$66+Assumptions!$D$67*52/12</f>
        <v>251.324221031436</v>
      </c>
      <c r="AQ57" s="33" t="n">
        <f aca="false">IF(BC56=1,Assumptions!$D$69,Assumptions!$D$68)*52/12</f>
        <v>108.333333333333</v>
      </c>
      <c r="AR57" s="33" t="n">
        <f aca="false">MAX(0,AP57-AQ57)</f>
        <v>142.990887698103</v>
      </c>
      <c r="AS57" s="36" t="n">
        <f aca="false">AR57*Assumptions!$D$70*Assumptions!$D$71</f>
        <v>1608.64748660366</v>
      </c>
      <c r="AT57" s="36" t="n">
        <f aca="false">Assumptions!$D$56/12</f>
        <v>75</v>
      </c>
      <c r="AU57" s="36" t="n">
        <f aca="false">IF(A57=1,Assumptions!$D$57,0)+Assumptions!$D$58</f>
        <v>45</v>
      </c>
      <c r="AV57" s="36" t="n">
        <f aca="false">IF(AND(Y57&gt;0,Y57=A57),Assumptions!$D$46,0)+IF(Y57&gt;0,Assumptions!$D$47,0)</f>
        <v>50</v>
      </c>
      <c r="AW57" s="36" t="n">
        <f aca="false">AK57+AL57+AM57+AN57+AO57+AS57+AT57+AU57+AV57</f>
        <v>3070.10627723014</v>
      </c>
      <c r="AX57" s="36" t="n">
        <f aca="false">AI57-AW57</f>
        <v>11574.2002618662</v>
      </c>
      <c r="AY57" s="36" t="n">
        <f aca="false">MAX(0,AX57)*Assumptions!$D$73</f>
        <v>3240.77607332254</v>
      </c>
      <c r="AZ57" s="36" t="n">
        <f aca="false">AX57-AY57</f>
        <v>8333.42418854369</v>
      </c>
      <c r="BA57" s="36" t="n">
        <f aca="false">BA56+AZ57</f>
        <v>229592.647409568</v>
      </c>
      <c r="BB57" s="31" t="n">
        <f aca="false">IF(AZ57&gt;=Assumptions!$D$74/12,BB56+1,0)</f>
        <v>0</v>
      </c>
      <c r="BC57" s="31" t="n">
        <f aca="false">IF(OR(BC56=1,BB57&gt;=3),1,0)</f>
        <v>0</v>
      </c>
      <c r="BD57" s="31" t="n">
        <f aca="false">IF(AZ57&gt;=Assumptions!$D$75/12,BD56+1,0)</f>
        <v>1</v>
      </c>
      <c r="BE57" s="33" t="n">
        <f aca="false">AP57*12/52</f>
        <v>57.9978971611007</v>
      </c>
      <c r="BF57" s="33" t="n">
        <f aca="false">AR57*12/52</f>
        <v>32.9978971611007</v>
      </c>
      <c r="BG57" s="31" t="n">
        <f aca="false">IF(AX57&gt;0,A57,999)</f>
        <v>53</v>
      </c>
      <c r="BH57" s="31" t="n">
        <f aca="false">IF(BB57&gt;=3,A57,999)</f>
        <v>999</v>
      </c>
      <c r="BI57" s="31" t="n">
        <f aca="false">IF(BD57&gt;=3,A57,999)</f>
        <v>999</v>
      </c>
    </row>
    <row r="58" customFormat="false" ht="15" hidden="false" customHeight="false" outlineLevel="0" collapsed="false">
      <c r="A58" s="31" t="n">
        <v>54</v>
      </c>
      <c r="B58" s="32" t="n">
        <f aca="false">DATE(2026,10+A58,1)</f>
        <v>47939</v>
      </c>
      <c r="C58" s="31" t="n">
        <f aca="false">INT((A58-1)/12)+1</f>
        <v>5</v>
      </c>
      <c r="D58" s="31" t="n">
        <f aca="false">IF(C58=1,Assumptions!$D$7,IF(C58=2,Assumptions!$D$8,Assumptions!$D$9))</f>
        <v>25</v>
      </c>
      <c r="E58" s="31" t="n">
        <f aca="false">D58*Assumptions!$D$10</f>
        <v>525</v>
      </c>
      <c r="F58" s="33" t="n">
        <f aca="false">E58*Assumptions!$D$11</f>
        <v>42</v>
      </c>
      <c r="G58" s="34" t="n">
        <f aca="false">MIN(1,Assumptions!$D$13+(1-Assumptions!$D$13)*(A58-1)/Assumptions!$D$14)</f>
        <v>1</v>
      </c>
      <c r="H58" s="33" t="n">
        <f aca="false">F58*Assumptions!$D$12*G58</f>
        <v>5.04</v>
      </c>
      <c r="I58" s="33" t="n">
        <f aca="false">Assumptions!$D$15*(Q57+R57+T57+U57)</f>
        <v>1.0084545579671</v>
      </c>
      <c r="J58" s="33" t="n">
        <f aca="false">H58+I58</f>
        <v>6.0484545579671</v>
      </c>
      <c r="K58" s="33" t="n">
        <f aca="false">J58*Assumptions!$D$18</f>
        <v>0</v>
      </c>
      <c r="L58" s="33" t="n">
        <f aca="false">(J58-K58)*Assumptions!$D$17</f>
        <v>4.23391819057697</v>
      </c>
      <c r="M58" s="33" t="n">
        <f aca="false">J58-K58-L58</f>
        <v>1.81453636739013</v>
      </c>
      <c r="N58" s="33" t="n">
        <f aca="false">L58*Assumptions!$D$19</f>
        <v>0.423391819057697</v>
      </c>
      <c r="O58" s="33" t="n">
        <f aca="false">L58-N58</f>
        <v>3.81052637151927</v>
      </c>
      <c r="P58" s="33" t="n">
        <f aca="false">O46*(1-Assumptions!$D$20)^12</f>
        <v>3.28555034863615</v>
      </c>
      <c r="Q58" s="33" t="n">
        <f aca="false">Q57*(1-Assumptions!$D$20)+O58-P58</f>
        <v>42.7975261630808</v>
      </c>
      <c r="R58" s="33" t="n">
        <f aca="false">R57*(1-Assumptions!$D$22)+P58*(1-Assumptions!$D$21)</f>
        <v>49.1030529650017</v>
      </c>
      <c r="S58" s="33" t="n">
        <f aca="false">Q58+R58</f>
        <v>91.9005791280825</v>
      </c>
      <c r="T58" s="33" t="n">
        <f aca="false">T57*(1-Assumptions!$D$24)+M58*Assumptions!$D$23</f>
        <v>10.0806946696516</v>
      </c>
      <c r="U58" s="33" t="n">
        <f aca="false">U57*(1-Assumptions!$D$25)+K58</f>
        <v>0</v>
      </c>
      <c r="V58" s="33" t="n">
        <f aca="false">V57+M58</f>
        <v>77.7731892410904</v>
      </c>
      <c r="W58" s="33" t="n">
        <f aca="false">N58+Q57*Assumptions!$D$20+P58*Assumptions!$D$21+R57*Assumptions!$D$22+T57*Assumptions!$D$24+U57*Assumptions!$D$25</f>
        <v>3.64246109977036</v>
      </c>
      <c r="X58" s="33" t="n">
        <f aca="false">IF(A58&lt;Assumptions!$D$34,0,Assumptions!$D$36*MIN(1,(A58-Assumptions!$D$34+1)/Assumptions!$D$35))*(S58+T58)</f>
        <v>20.3962547595468</v>
      </c>
      <c r="Y58" s="31" t="n">
        <f aca="false">IF(Y57&gt;0,Y57,IF(AND(A58&gt;=Assumptions!$D$41,Q57+R57+T57&gt;=Assumptions!$D$40),A58,0))</f>
        <v>13</v>
      </c>
      <c r="Z58" s="33" t="n">
        <f aca="false">IF(Y58&gt;0,Assumptions!$D$42*MIN(1,(A58-Y58+1)/Assumptions!$D$43),0)*(S58+T58)</f>
        <v>30.5943821393202</v>
      </c>
      <c r="AA58" s="35" t="n">
        <f aca="false">(1+Assumptions!$D$32)^(C58-1)</f>
        <v>1.12550881</v>
      </c>
      <c r="AB58" s="36" t="n">
        <f aca="false">O58*Assumptions!$D$27*AA58</f>
        <v>424.589319186345</v>
      </c>
      <c r="AC58" s="36" t="n">
        <f aca="false">(Q57+R57)*Assumptions!$D$28*AA58</f>
        <v>10124.0832432291</v>
      </c>
      <c r="AD58" s="36" t="n">
        <f aca="false">M58*Assumptions!$D$29*AA58</f>
        <v>1019.09605711393</v>
      </c>
      <c r="AE58" s="36" t="n">
        <f aca="false">T57*Assumptions!$D$30*AA58</f>
        <v>887.879565702799</v>
      </c>
      <c r="AF58" s="36" t="n">
        <f aca="false">U57*Assumptions!$D$31*AA58</f>
        <v>0</v>
      </c>
      <c r="AG58" s="36" t="n">
        <f aca="false">X58*Assumptions!$D$37*Assumptions!$D$38</f>
        <v>1427.73783316828</v>
      </c>
      <c r="AH58" s="36" t="n">
        <f aca="false">Z58*Assumptions!$D$44*Assumptions!$D$45</f>
        <v>917.831464179606</v>
      </c>
      <c r="AI58" s="36" t="n">
        <f aca="false">SUM(AB58:AH58)</f>
        <v>14801.21748258</v>
      </c>
      <c r="AJ58" s="36" t="n">
        <f aca="false">(S58*Assumptions!$D$28+T58*Assumptions!$D$30+U58*Assumptions!$D$31)*AA58+AG58+AH58</f>
        <v>13481.9524734384</v>
      </c>
      <c r="AK58" s="36" t="n">
        <f aca="false">(AI58-AH58)*Assumptions!$D$49</f>
        <v>527.568668699216</v>
      </c>
      <c r="AL58" s="36" t="n">
        <f aca="false">(AC58+AE58+AF58)*Assumptions!$D$50</f>
        <v>77.083739662523</v>
      </c>
      <c r="AM58" s="36" t="n">
        <f aca="false">S58*Assumptions!$D$51+M58*Assumptions!$D$52</f>
        <v>142.093769420955</v>
      </c>
      <c r="AN58" s="36" t="n">
        <f aca="false">Assumptions!$D$53+Assumptions!$D$54*(S58+T58+U58)</f>
        <v>455.943821393202</v>
      </c>
      <c r="AO58" s="36" t="n">
        <f aca="false">IF(C58&gt;=2,Assumptions!$D$55,0)</f>
        <v>100</v>
      </c>
      <c r="AP58" s="33" t="n">
        <f aca="false">E58*Assumptions!$D$60/60+F58*Assumptions!$D$61+J58*Assumptions!$D$62+(S58+T58)*Assumptions!$D$63+X58*Assumptions!$D$64+Z58*Assumptions!$D$65+U58*Assumptions!$D$66+Assumptions!$D$67*52/12</f>
        <v>253.363670106912</v>
      </c>
      <c r="AQ58" s="33" t="n">
        <f aca="false">IF(BC57=1,Assumptions!$D$69,Assumptions!$D$68)*52/12</f>
        <v>108.333333333333</v>
      </c>
      <c r="AR58" s="33" t="n">
        <f aca="false">MAX(0,AP58-AQ58)</f>
        <v>145.030336773579</v>
      </c>
      <c r="AS58" s="36" t="n">
        <f aca="false">AR58*Assumptions!$D$70*Assumptions!$D$71</f>
        <v>1631.59128870276</v>
      </c>
      <c r="AT58" s="36" t="n">
        <f aca="false">Assumptions!$D$56/12</f>
        <v>75</v>
      </c>
      <c r="AU58" s="36" t="n">
        <f aca="false">IF(A58=1,Assumptions!$D$57,0)+Assumptions!$D$58</f>
        <v>45</v>
      </c>
      <c r="AV58" s="36" t="n">
        <f aca="false">IF(AND(Y58&gt;0,Y58=A58),Assumptions!$D$46,0)+IF(Y58&gt;0,Assumptions!$D$47,0)</f>
        <v>50</v>
      </c>
      <c r="AW58" s="36" t="n">
        <f aca="false">AK58+AL58+AM58+AN58+AO58+AS58+AT58+AU58+AV58</f>
        <v>3104.28128787866</v>
      </c>
      <c r="AX58" s="36" t="n">
        <f aca="false">AI58-AW58</f>
        <v>11696.9361947014</v>
      </c>
      <c r="AY58" s="36" t="n">
        <f aca="false">MAX(0,AX58)*Assumptions!$D$73</f>
        <v>3275.14213451638</v>
      </c>
      <c r="AZ58" s="36" t="n">
        <f aca="false">AX58-AY58</f>
        <v>8421.79406018498</v>
      </c>
      <c r="BA58" s="36" t="n">
        <f aca="false">BA57+AZ58</f>
        <v>238014.441469753</v>
      </c>
      <c r="BB58" s="31" t="n">
        <f aca="false">IF(AZ58&gt;=Assumptions!$D$74/12,BB57+1,0)</f>
        <v>0</v>
      </c>
      <c r="BC58" s="31" t="n">
        <f aca="false">IF(OR(BC57=1,BB58&gt;=3),1,0)</f>
        <v>0</v>
      </c>
      <c r="BD58" s="31" t="n">
        <f aca="false">IF(AZ58&gt;=Assumptions!$D$75/12,BD57+1,0)</f>
        <v>2</v>
      </c>
      <c r="BE58" s="33" t="n">
        <f aca="false">AP58*12/52</f>
        <v>58.4685392554412</v>
      </c>
      <c r="BF58" s="33" t="n">
        <f aca="false">AR58*12/52</f>
        <v>33.4685392554412</v>
      </c>
      <c r="BG58" s="31" t="n">
        <f aca="false">IF(AX58&gt;0,A58,999)</f>
        <v>54</v>
      </c>
      <c r="BH58" s="31" t="n">
        <f aca="false">IF(BB58&gt;=3,A58,999)</f>
        <v>999</v>
      </c>
      <c r="BI58" s="31" t="n">
        <f aca="false">IF(BD58&gt;=3,A58,999)</f>
        <v>999</v>
      </c>
    </row>
    <row r="59" customFormat="false" ht="15" hidden="false" customHeight="false" outlineLevel="0" collapsed="false">
      <c r="A59" s="31" t="n">
        <v>55</v>
      </c>
      <c r="B59" s="32" t="n">
        <f aca="false">DATE(2026,10+A59,1)</f>
        <v>47969</v>
      </c>
      <c r="C59" s="31" t="n">
        <f aca="false">INT((A59-1)/12)+1</f>
        <v>5</v>
      </c>
      <c r="D59" s="31" t="n">
        <f aca="false">IF(C59=1,Assumptions!$D$7,IF(C59=2,Assumptions!$D$8,Assumptions!$D$9))</f>
        <v>25</v>
      </c>
      <c r="E59" s="31" t="n">
        <f aca="false">D59*Assumptions!$D$10</f>
        <v>525</v>
      </c>
      <c r="F59" s="33" t="n">
        <f aca="false">E59*Assumptions!$D$11</f>
        <v>42</v>
      </c>
      <c r="G59" s="34" t="n">
        <f aca="false">MIN(1,Assumptions!$D$13+(1-Assumptions!$D$13)*(A59-1)/Assumptions!$D$14)</f>
        <v>1</v>
      </c>
      <c r="H59" s="33" t="n">
        <f aca="false">F59*Assumptions!$D$12*G59</f>
        <v>5.04</v>
      </c>
      <c r="I59" s="33" t="n">
        <f aca="false">Assumptions!$D$15*(Q58+R58+T58+U58)</f>
        <v>1.01981273797734</v>
      </c>
      <c r="J59" s="33" t="n">
        <f aca="false">H59+I59</f>
        <v>6.05981273797734</v>
      </c>
      <c r="K59" s="33" t="n">
        <f aca="false">J59*Assumptions!$D$18</f>
        <v>0</v>
      </c>
      <c r="L59" s="33" t="n">
        <f aca="false">(J59-K59)*Assumptions!$D$17</f>
        <v>4.24186891658414</v>
      </c>
      <c r="M59" s="33" t="n">
        <f aca="false">J59-K59-L59</f>
        <v>1.8179438213932</v>
      </c>
      <c r="N59" s="33" t="n">
        <f aca="false">L59*Assumptions!$D$19</f>
        <v>0.424186891658414</v>
      </c>
      <c r="O59" s="33" t="n">
        <f aca="false">L59-N59</f>
        <v>3.81768202492572</v>
      </c>
      <c r="P59" s="33" t="n">
        <f aca="false">O47*(1-Assumptions!$D$20)^12</f>
        <v>3.29447960696286</v>
      </c>
      <c r="Q59" s="33" t="n">
        <f aca="false">Q58*(1-Assumptions!$D$20)+O59-P59</f>
        <v>42.8927533194129</v>
      </c>
      <c r="R59" s="33" t="n">
        <f aca="false">R58*(1-Assumptions!$D$22)+P59*(1-Assumptions!$D$21)</f>
        <v>50.0200297967969</v>
      </c>
      <c r="S59" s="33" t="n">
        <f aca="false">Q59+R59</f>
        <v>92.9127831162097</v>
      </c>
      <c r="T59" s="33" t="n">
        <f aca="false">T58*(1-Assumptions!$D$24)+M59*Assumptions!$D$23</f>
        <v>10.1724465559352</v>
      </c>
      <c r="U59" s="33" t="n">
        <f aca="false">U58*(1-Assumptions!$D$25)+K59</f>
        <v>0</v>
      </c>
      <c r="V59" s="33" t="n">
        <f aca="false">V58+M59</f>
        <v>79.5911330624836</v>
      </c>
      <c r="W59" s="33" t="n">
        <f aca="false">N59+Q58*Assumptions!$D$20+P59*Assumptions!$D$21+R58*Assumptions!$D$22+T58*Assumptions!$D$24+U58*Assumptions!$D$25</f>
        <v>3.68329618859117</v>
      </c>
      <c r="X59" s="33" t="n">
        <f aca="false">IF(A59&lt;Assumptions!$D$34,0,Assumptions!$D$36*MIN(1,(A59-Assumptions!$D$34+1)/Assumptions!$D$35))*(S59+T59)</f>
        <v>20.617045934429</v>
      </c>
      <c r="Y59" s="31" t="n">
        <f aca="false">IF(Y58&gt;0,Y58,IF(AND(A59&gt;=Assumptions!$D$41,Q58+R58+T58&gt;=Assumptions!$D$40),A59,0))</f>
        <v>13</v>
      </c>
      <c r="Z59" s="33" t="n">
        <f aca="false">IF(Y59&gt;0,Assumptions!$D$42*MIN(1,(A59-Y59+1)/Assumptions!$D$43),0)*(S59+T59)</f>
        <v>30.9255689016435</v>
      </c>
      <c r="AA59" s="35" t="n">
        <f aca="false">(1+Assumptions!$D$32)^(C59-1)</f>
        <v>1.12550881</v>
      </c>
      <c r="AB59" s="36" t="n">
        <f aca="false">O59*Assumptions!$D$27*AA59</f>
        <v>425.386640530422</v>
      </c>
      <c r="AC59" s="36" t="n">
        <f aca="false">(Q58+R58)*Assumptions!$D$28*AA59</f>
        <v>10240.0562338231</v>
      </c>
      <c r="AD59" s="36" t="n">
        <f aca="false">M59*Assumptions!$D$29*AA59</f>
        <v>1021.0097817445</v>
      </c>
      <c r="AE59" s="36" t="n">
        <f aca="false">T58*Assumptions!$D$30*AA59</f>
        <v>896.326942267416</v>
      </c>
      <c r="AF59" s="36" t="n">
        <f aca="false">U58*Assumptions!$D$31*AA59</f>
        <v>0</v>
      </c>
      <c r="AG59" s="36" t="n">
        <f aca="false">X59*Assumptions!$D$37*Assumptions!$D$38</f>
        <v>1443.19321541003</v>
      </c>
      <c r="AH59" s="36" t="n">
        <f aca="false">Z59*Assumptions!$D$44*Assumptions!$D$45</f>
        <v>927.767067049305</v>
      </c>
      <c r="AI59" s="36" t="n">
        <f aca="false">SUM(AB59:AH59)</f>
        <v>14953.7398808248</v>
      </c>
      <c r="AJ59" s="36" t="n">
        <f aca="false">(S59*Assumptions!$D$28+T59*Assumptions!$D$30+U59*Assumptions!$D$31)*AA59+AG59+AH59</f>
        <v>13628.2868016105</v>
      </c>
      <c r="AK59" s="36" t="n">
        <f aca="false">(AI59-AH59)*Assumptions!$D$49</f>
        <v>532.986966923469</v>
      </c>
      <c r="AL59" s="36" t="n">
        <f aca="false">(AC59+AE59+AF59)*Assumptions!$D$50</f>
        <v>77.9546822326339</v>
      </c>
      <c r="AM59" s="36" t="n">
        <f aca="false">S59*Assumptions!$D$51+M59*Assumptions!$D$52</f>
        <v>143.41013621616</v>
      </c>
      <c r="AN59" s="36" t="n">
        <f aca="false">Assumptions!$D$53+Assumptions!$D$54*(S59+T59+U59)</f>
        <v>459.255689016435</v>
      </c>
      <c r="AO59" s="36" t="n">
        <f aca="false">IF(C59&gt;=2,Assumptions!$D$55,0)</f>
        <v>100</v>
      </c>
      <c r="AP59" s="33" t="n">
        <f aca="false">E59*Assumptions!$D$60/60+F59*Assumptions!$D$61+J59*Assumptions!$D$62+(S59+T59)*Assumptions!$D$63+X59*Assumptions!$D$64+Z59*Assumptions!$D$65+U59*Assumptions!$D$66+Assumptions!$D$67*52/12</f>
        <v>255.345908144012</v>
      </c>
      <c r="AQ59" s="33" t="n">
        <f aca="false">IF(BC58=1,Assumptions!$D$69,Assumptions!$D$68)*52/12</f>
        <v>108.333333333333</v>
      </c>
      <c r="AR59" s="33" t="n">
        <f aca="false">MAX(0,AP59-AQ59)</f>
        <v>147.012574810679</v>
      </c>
      <c r="AS59" s="36" t="n">
        <f aca="false">AR59*Assumptions!$D$70*Assumptions!$D$71</f>
        <v>1653.89146662013</v>
      </c>
      <c r="AT59" s="36" t="n">
        <f aca="false">Assumptions!$D$56/12</f>
        <v>75</v>
      </c>
      <c r="AU59" s="36" t="n">
        <f aca="false">IF(A59=1,Assumptions!$D$57,0)+Assumptions!$D$58</f>
        <v>45</v>
      </c>
      <c r="AV59" s="36" t="n">
        <f aca="false">IF(AND(Y59&gt;0,Y59=A59),Assumptions!$D$46,0)+IF(Y59&gt;0,Assumptions!$D$47,0)</f>
        <v>50</v>
      </c>
      <c r="AW59" s="36" t="n">
        <f aca="false">AK59+AL59+AM59+AN59+AO59+AS59+AT59+AU59+AV59</f>
        <v>3137.49894100883</v>
      </c>
      <c r="AX59" s="36" t="n">
        <f aca="false">AI59-AW59</f>
        <v>11816.240939816</v>
      </c>
      <c r="AY59" s="36" t="n">
        <f aca="false">MAX(0,AX59)*Assumptions!$D$73</f>
        <v>3308.54746314847</v>
      </c>
      <c r="AZ59" s="36" t="n">
        <f aca="false">AX59-AY59</f>
        <v>8507.6934766675</v>
      </c>
      <c r="BA59" s="36" t="n">
        <f aca="false">BA58+AZ59</f>
        <v>246522.134946421</v>
      </c>
      <c r="BB59" s="31" t="n">
        <f aca="false">IF(AZ59&gt;=Assumptions!$D$74/12,BB58+1,0)</f>
        <v>0</v>
      </c>
      <c r="BC59" s="31" t="n">
        <f aca="false">IF(OR(BC58=1,BB59&gt;=3),1,0)</f>
        <v>0</v>
      </c>
      <c r="BD59" s="31" t="n">
        <f aca="false">IF(AZ59&gt;=Assumptions!$D$75/12,BD58+1,0)</f>
        <v>3</v>
      </c>
      <c r="BE59" s="33" t="n">
        <f aca="false">AP59*12/52</f>
        <v>58.9259788024643</v>
      </c>
      <c r="BF59" s="33" t="n">
        <f aca="false">AR59*12/52</f>
        <v>33.9259788024643</v>
      </c>
      <c r="BG59" s="31" t="n">
        <f aca="false">IF(AX59&gt;0,A59,999)</f>
        <v>55</v>
      </c>
      <c r="BH59" s="31" t="n">
        <f aca="false">IF(BB59&gt;=3,A59,999)</f>
        <v>999</v>
      </c>
      <c r="BI59" s="31" t="n">
        <f aca="false">IF(BD59&gt;=3,A59,999)</f>
        <v>55</v>
      </c>
    </row>
    <row r="60" customFormat="false" ht="15" hidden="false" customHeight="false" outlineLevel="0" collapsed="false">
      <c r="A60" s="31" t="n">
        <v>56</v>
      </c>
      <c r="B60" s="32" t="n">
        <f aca="false">DATE(2026,10+A60,1)</f>
        <v>48000</v>
      </c>
      <c r="C60" s="31" t="n">
        <f aca="false">INT((A60-1)/12)+1</f>
        <v>5</v>
      </c>
      <c r="D60" s="31" t="n">
        <f aca="false">IF(C60=1,Assumptions!$D$7,IF(C60=2,Assumptions!$D$8,Assumptions!$D$9))</f>
        <v>25</v>
      </c>
      <c r="E60" s="31" t="n">
        <f aca="false">D60*Assumptions!$D$10</f>
        <v>525</v>
      </c>
      <c r="F60" s="33" t="n">
        <f aca="false">E60*Assumptions!$D$11</f>
        <v>42</v>
      </c>
      <c r="G60" s="34" t="n">
        <f aca="false">MIN(1,Assumptions!$D$13+(1-Assumptions!$D$13)*(A60-1)/Assumptions!$D$14)</f>
        <v>1</v>
      </c>
      <c r="H60" s="33" t="n">
        <f aca="false">F60*Assumptions!$D$12*G60</f>
        <v>5.04</v>
      </c>
      <c r="I60" s="33" t="n">
        <f aca="false">Assumptions!$D$15*(Q59+R59+T59+U59)</f>
        <v>1.03085229672145</v>
      </c>
      <c r="J60" s="33" t="n">
        <f aca="false">H60+I60</f>
        <v>6.07085229672145</v>
      </c>
      <c r="K60" s="33" t="n">
        <f aca="false">J60*Assumptions!$D$18</f>
        <v>0</v>
      </c>
      <c r="L60" s="33" t="n">
        <f aca="false">(J60-K60)*Assumptions!$D$17</f>
        <v>4.24959660770502</v>
      </c>
      <c r="M60" s="33" t="n">
        <f aca="false">J60-K60-L60</f>
        <v>1.82125568901643</v>
      </c>
      <c r="N60" s="33" t="n">
        <f aca="false">L60*Assumptions!$D$19</f>
        <v>0.424959660770502</v>
      </c>
      <c r="O60" s="33" t="n">
        <f aca="false">L60-N60</f>
        <v>3.82463694693451</v>
      </c>
      <c r="P60" s="33" t="n">
        <f aca="false">O48*(1-Assumptions!$D$20)^12</f>
        <v>3.30315797263876</v>
      </c>
      <c r="Q60" s="33" t="n">
        <f aca="false">Q59*(1-Assumptions!$D$20)+O60-P60</f>
        <v>42.9853047605145</v>
      </c>
      <c r="R60" s="33" t="n">
        <f aca="false">R59*(1-Assumptions!$D$22)+P60*(1-Assumptions!$D$21)</f>
        <v>50.91185513202</v>
      </c>
      <c r="S60" s="33" t="n">
        <f aca="false">Q60+R60</f>
        <v>93.8971598925345</v>
      </c>
      <c r="T60" s="33" t="n">
        <f aca="false">T59*(1-Assumptions!$D$24)+M60*Assumptions!$D$23</f>
        <v>10.261063167623</v>
      </c>
      <c r="U60" s="33" t="n">
        <f aca="false">U59*(1-Assumptions!$D$25)+K60</f>
        <v>0</v>
      </c>
      <c r="V60" s="33" t="n">
        <f aca="false">V59+M60</f>
        <v>81.4123887515</v>
      </c>
      <c r="W60" s="33" t="n">
        <f aca="false">N60+Q59*Assumptions!$D$20+P60*Assumptions!$D$21+R59*Assumptions!$D$22+T59*Assumptions!$D$24+U59*Assumptions!$D$25</f>
        <v>3.72297992639736</v>
      </c>
      <c r="X60" s="33" t="n">
        <f aca="false">IF(A60&lt;Assumptions!$D$34,0,Assumptions!$D$36*MIN(1,(A60-Assumptions!$D$34+1)/Assumptions!$D$35))*(S60+T60)</f>
        <v>20.8316446120315</v>
      </c>
      <c r="Y60" s="31" t="n">
        <f aca="false">IF(Y59&gt;0,Y59,IF(AND(A60&gt;=Assumptions!$D$41,Q59+R59+T59&gt;=Assumptions!$D$40),A60,0))</f>
        <v>13</v>
      </c>
      <c r="Z60" s="33" t="n">
        <f aca="false">IF(Y60&gt;0,Assumptions!$D$42*MIN(1,(A60-Y60+1)/Assumptions!$D$43),0)*(S60+T60)</f>
        <v>31.2474669180473</v>
      </c>
      <c r="AA60" s="35" t="n">
        <f aca="false">(1+Assumptions!$D$32)^(C60-1)</f>
        <v>1.12550881</v>
      </c>
      <c r="AB60" s="36" t="n">
        <f aca="false">O60*Assumptions!$D$27*AA60</f>
        <v>426.161595303803</v>
      </c>
      <c r="AC60" s="36" t="n">
        <f aca="false">(Q59+R59)*Assumptions!$D$28*AA60</f>
        <v>10352.8414399324</v>
      </c>
      <c r="AD60" s="36" t="n">
        <f aca="false">M60*Assumptions!$D$29*AA60</f>
        <v>1022.86982230206</v>
      </c>
      <c r="AE60" s="36" t="n">
        <f aca="false">T59*Assumptions!$D$30*AA60</f>
        <v>904.485079218778</v>
      </c>
      <c r="AF60" s="36" t="n">
        <f aca="false">U59*Assumptions!$D$31*AA60</f>
        <v>0</v>
      </c>
      <c r="AG60" s="36" t="n">
        <f aca="false">X60*Assumptions!$D$37*Assumptions!$D$38</f>
        <v>1458.21512284221</v>
      </c>
      <c r="AH60" s="36" t="n">
        <f aca="false">Z60*Assumptions!$D$44*Assumptions!$D$45</f>
        <v>937.424007541418</v>
      </c>
      <c r="AI60" s="36" t="n">
        <f aca="false">SUM(AB60:AH60)</f>
        <v>15101.9970671407</v>
      </c>
      <c r="AJ60" s="36" t="n">
        <f aca="false">(S60*Assumptions!$D$28+T60*Assumptions!$D$30+U60*Assumptions!$D$31)*AA60+AG60+AH60</f>
        <v>13770.5295616082</v>
      </c>
      <c r="AK60" s="36" t="n">
        <f aca="false">(AI60-AH60)*Assumptions!$D$49</f>
        <v>538.253776264772</v>
      </c>
      <c r="AL60" s="36" t="n">
        <f aca="false">(AC60+AE60+AF60)*Assumptions!$D$50</f>
        <v>78.8012856340584</v>
      </c>
      <c r="AM60" s="36" t="n">
        <f aca="false">S60*Assumptions!$D$51+M60*Assumptions!$D$52</f>
        <v>144.690285200915</v>
      </c>
      <c r="AN60" s="36" t="n">
        <f aca="false">Assumptions!$D$53+Assumptions!$D$54*(S60+T60+U60)</f>
        <v>462.474669180473</v>
      </c>
      <c r="AO60" s="36" t="n">
        <f aca="false">IF(C60&gt;=2,Assumptions!$D$55,0)</f>
        <v>100</v>
      </c>
      <c r="AP60" s="33" t="n">
        <f aca="false">E60*Assumptions!$D$60/60+F60*Assumptions!$D$61+J60*Assumptions!$D$62+(S60+T60)*Assumptions!$D$63+X60*Assumptions!$D$64+Z60*Assumptions!$D$65+U60*Assumptions!$D$66+Assumptions!$D$67*52/12</f>
        <v>257.272550525222</v>
      </c>
      <c r="AQ60" s="33" t="n">
        <f aca="false">IF(BC59=1,Assumptions!$D$69,Assumptions!$D$68)*52/12</f>
        <v>108.333333333333</v>
      </c>
      <c r="AR60" s="33" t="n">
        <f aca="false">MAX(0,AP60-AQ60)</f>
        <v>148.939217191889</v>
      </c>
      <c r="AS60" s="36" t="n">
        <f aca="false">AR60*Assumptions!$D$70*Assumptions!$D$71</f>
        <v>1675.56619340875</v>
      </c>
      <c r="AT60" s="36" t="n">
        <f aca="false">Assumptions!$D$56/12</f>
        <v>75</v>
      </c>
      <c r="AU60" s="36" t="n">
        <f aca="false">IF(A60=1,Assumptions!$D$57,0)+Assumptions!$D$58</f>
        <v>45</v>
      </c>
      <c r="AV60" s="36" t="n">
        <f aca="false">IF(AND(Y60&gt;0,Y60=A60),Assumptions!$D$46,0)+IF(Y60&gt;0,Assumptions!$D$47,0)</f>
        <v>50</v>
      </c>
      <c r="AW60" s="36" t="n">
        <f aca="false">AK60+AL60+AM60+AN60+AO60+AS60+AT60+AU60+AV60</f>
        <v>3169.78620968897</v>
      </c>
      <c r="AX60" s="36" t="n">
        <f aca="false">AI60-AW60</f>
        <v>11932.2108574517</v>
      </c>
      <c r="AY60" s="36" t="n">
        <f aca="false">MAX(0,AX60)*Assumptions!$D$73</f>
        <v>3341.01904008648</v>
      </c>
      <c r="AZ60" s="36" t="n">
        <f aca="false">AX60-AY60</f>
        <v>8591.19181736523</v>
      </c>
      <c r="BA60" s="36" t="n">
        <f aca="false">BA59+AZ60</f>
        <v>255113.326763786</v>
      </c>
      <c r="BB60" s="31" t="n">
        <f aca="false">IF(AZ60&gt;=Assumptions!$D$74/12,BB59+1,0)</f>
        <v>0</v>
      </c>
      <c r="BC60" s="31" t="n">
        <f aca="false">IF(OR(BC59=1,BB60&gt;=3),1,0)</f>
        <v>0</v>
      </c>
      <c r="BD60" s="31" t="n">
        <f aca="false">IF(AZ60&gt;=Assumptions!$D$75/12,BD59+1,0)</f>
        <v>4</v>
      </c>
      <c r="BE60" s="33" t="n">
        <f aca="false">AP60*12/52</f>
        <v>59.3705885827437</v>
      </c>
      <c r="BF60" s="33" t="n">
        <f aca="false">AR60*12/52</f>
        <v>34.3705885827437</v>
      </c>
      <c r="BG60" s="31" t="n">
        <f aca="false">IF(AX60&gt;0,A60,999)</f>
        <v>56</v>
      </c>
      <c r="BH60" s="31" t="n">
        <f aca="false">IF(BB60&gt;=3,A60,999)</f>
        <v>999</v>
      </c>
      <c r="BI60" s="31" t="n">
        <f aca="false">IF(BD60&gt;=3,A60,999)</f>
        <v>56</v>
      </c>
    </row>
    <row r="61" customFormat="false" ht="15" hidden="false" customHeight="false" outlineLevel="0" collapsed="false">
      <c r="A61" s="31" t="n">
        <v>57</v>
      </c>
      <c r="B61" s="32" t="n">
        <f aca="false">DATE(2026,10+A61,1)</f>
        <v>48030</v>
      </c>
      <c r="C61" s="31" t="n">
        <f aca="false">INT((A61-1)/12)+1</f>
        <v>5</v>
      </c>
      <c r="D61" s="31" t="n">
        <f aca="false">IF(C61=1,Assumptions!$D$7,IF(C61=2,Assumptions!$D$8,Assumptions!$D$9))</f>
        <v>25</v>
      </c>
      <c r="E61" s="31" t="n">
        <f aca="false">D61*Assumptions!$D$10</f>
        <v>525</v>
      </c>
      <c r="F61" s="33" t="n">
        <f aca="false">E61*Assumptions!$D$11</f>
        <v>42</v>
      </c>
      <c r="G61" s="34" t="n">
        <f aca="false">MIN(1,Assumptions!$D$13+(1-Assumptions!$D$13)*(A61-1)/Assumptions!$D$14)</f>
        <v>1</v>
      </c>
      <c r="H61" s="33" t="n">
        <f aca="false">F61*Assumptions!$D$12*G61</f>
        <v>5.04</v>
      </c>
      <c r="I61" s="33" t="n">
        <f aca="false">Assumptions!$D$15*(Q60+R60+T60+U60)</f>
        <v>1.04158223060158</v>
      </c>
      <c r="J61" s="33" t="n">
        <f aca="false">H61+I61</f>
        <v>6.08158223060158</v>
      </c>
      <c r="K61" s="33" t="n">
        <f aca="false">J61*Assumptions!$D$18</f>
        <v>0</v>
      </c>
      <c r="L61" s="33" t="n">
        <f aca="false">(J61-K61)*Assumptions!$D$17</f>
        <v>4.2571075614211</v>
      </c>
      <c r="M61" s="33" t="n">
        <f aca="false">J61-K61-L61</f>
        <v>1.82447466918047</v>
      </c>
      <c r="N61" s="33" t="n">
        <f aca="false">L61*Assumptions!$D$19</f>
        <v>0.42571075614211</v>
      </c>
      <c r="O61" s="33" t="n">
        <f aca="false">L61-N61</f>
        <v>3.83139680527899</v>
      </c>
      <c r="P61" s="33" t="n">
        <f aca="false">O49*(1-Assumptions!$D$20)^12</f>
        <v>3.31159244892547</v>
      </c>
      <c r="Q61" s="33" t="n">
        <f aca="false">Q60*(1-Assumptions!$D$20)+O61-P61</f>
        <v>43.0752560692629</v>
      </c>
      <c r="R61" s="33" t="n">
        <f aca="false">R60*(1-Assumptions!$D$22)+P61*(1-Assumptions!$D$21)</f>
        <v>51.7792141615397</v>
      </c>
      <c r="S61" s="33" t="n">
        <f aca="false">Q61+R61</f>
        <v>94.8544702308025</v>
      </c>
      <c r="T61" s="33" t="n">
        <f aca="false">T60*(1-Assumptions!$D$24)+M61*Assumptions!$D$23</f>
        <v>10.3466577258341</v>
      </c>
      <c r="U61" s="33" t="n">
        <f aca="false">U60*(1-Assumptions!$D$25)+K61</f>
        <v>0</v>
      </c>
      <c r="V61" s="33" t="n">
        <f aca="false">V60+M61</f>
        <v>83.2368634206805</v>
      </c>
      <c r="W61" s="33" t="n">
        <f aca="false">N61+Q60*Assumptions!$D$20+P61*Assumptions!$D$21+R60*Assumptions!$D$22+T60*Assumptions!$D$24+U60*Assumptions!$D$25</f>
        <v>3.76154506569609</v>
      </c>
      <c r="X61" s="33" t="n">
        <f aca="false">IF(A61&lt;Assumptions!$D$34,0,Assumptions!$D$36*MIN(1,(A61-Assumptions!$D$34+1)/Assumptions!$D$35))*(S61+T61)</f>
        <v>21.0402255913273</v>
      </c>
      <c r="Y61" s="31" t="n">
        <f aca="false">IF(Y60&gt;0,Y60,IF(AND(A61&gt;=Assumptions!$D$41,Q60+R60+T60&gt;=Assumptions!$D$40),A61,0))</f>
        <v>13</v>
      </c>
      <c r="Z61" s="33" t="n">
        <f aca="false">IF(Y61&gt;0,Assumptions!$D$42*MIN(1,(A61-Y61+1)/Assumptions!$D$43),0)*(S61+T61)</f>
        <v>31.560338386991</v>
      </c>
      <c r="AA61" s="35" t="n">
        <f aca="false">(1+Assumptions!$D$32)^(C61-1)</f>
        <v>1.12550881</v>
      </c>
      <c r="AB61" s="36" t="n">
        <f aca="false">O61*Assumptions!$D$27*AA61</f>
        <v>426.914815035789</v>
      </c>
      <c r="AC61" s="36" t="n">
        <f aca="false">(Q60+R60)*Assumptions!$D$28*AA61</f>
        <v>10462.5259886096</v>
      </c>
      <c r="AD61" s="36" t="n">
        <f aca="false">M61*Assumptions!$D$29*AA61</f>
        <v>1024.67769457844</v>
      </c>
      <c r="AE61" s="36" t="n">
        <f aca="false">T60*Assumptions!$D$30*AA61</f>
        <v>912.364442614973</v>
      </c>
      <c r="AF61" s="36" t="n">
        <f aca="false">U60*Assumptions!$D$31*AA61</f>
        <v>0</v>
      </c>
      <c r="AG61" s="36" t="n">
        <f aca="false">X61*Assumptions!$D$37*Assumptions!$D$38</f>
        <v>1472.81579139291</v>
      </c>
      <c r="AH61" s="36" t="n">
        <f aca="false">Z61*Assumptions!$D$44*Assumptions!$D$45</f>
        <v>946.81015160973</v>
      </c>
      <c r="AI61" s="36" t="n">
        <f aca="false">SUM(AB61:AH61)</f>
        <v>15246.1088838414</v>
      </c>
      <c r="AJ61" s="36" t="n">
        <f aca="false">(S61*Assumptions!$D$28+T61*Assumptions!$D$30+U61*Assumptions!$D$31)*AA61+AG61+AH61</f>
        <v>13908.7956918891</v>
      </c>
      <c r="AK61" s="36" t="n">
        <f aca="false">(AI61-AH61)*Assumptions!$D$49</f>
        <v>543.373351824805</v>
      </c>
      <c r="AL61" s="36" t="n">
        <f aca="false">(AC61+AE61+AF61)*Assumptions!$D$50</f>
        <v>79.624233018572</v>
      </c>
      <c r="AM61" s="36" t="n">
        <f aca="false">S61*Assumptions!$D$51+M61*Assumptions!$D$52</f>
        <v>145.93520782621</v>
      </c>
      <c r="AN61" s="36" t="n">
        <f aca="false">Assumptions!$D$53+Assumptions!$D$54*(S61+T61+U61)</f>
        <v>465.60338386991</v>
      </c>
      <c r="AO61" s="36" t="n">
        <f aca="false">IF(C61&gt;=2,Assumptions!$D$55,0)</f>
        <v>100</v>
      </c>
      <c r="AP61" s="33" t="n">
        <f aca="false">E61*Assumptions!$D$60/60+F61*Assumptions!$D$61+J61*Assumptions!$D$62+(S61+T61)*Assumptions!$D$63+X61*Assumptions!$D$64+Z61*Assumptions!$D$65+U61*Assumptions!$D$66+Assumptions!$D$67*52/12</f>
        <v>259.145166584233</v>
      </c>
      <c r="AQ61" s="33" t="n">
        <f aca="false">IF(BC60=1,Assumptions!$D$69,Assumptions!$D$68)*52/12</f>
        <v>108.333333333333</v>
      </c>
      <c r="AR61" s="33" t="n">
        <f aca="false">MAX(0,AP61-AQ61)</f>
        <v>150.8118332509</v>
      </c>
      <c r="AS61" s="36" t="n">
        <f aca="false">AR61*Assumptions!$D$70*Assumptions!$D$71</f>
        <v>1696.63312407262</v>
      </c>
      <c r="AT61" s="36" t="n">
        <f aca="false">Assumptions!$D$56/12</f>
        <v>75</v>
      </c>
      <c r="AU61" s="36" t="n">
        <f aca="false">IF(A61=1,Assumptions!$D$57,0)+Assumptions!$D$58</f>
        <v>45</v>
      </c>
      <c r="AV61" s="36" t="n">
        <f aca="false">IF(AND(Y61&gt;0,Y61=A61),Assumptions!$D$46,0)+IF(Y61&gt;0,Assumptions!$D$47,0)</f>
        <v>50</v>
      </c>
      <c r="AW61" s="36" t="n">
        <f aca="false">AK61+AL61+AM61+AN61+AO61+AS61+AT61+AU61+AV61</f>
        <v>3201.16930061212</v>
      </c>
      <c r="AX61" s="36" t="n">
        <f aca="false">AI61-AW61</f>
        <v>12044.9395832293</v>
      </c>
      <c r="AY61" s="36" t="n">
        <f aca="false">MAX(0,AX61)*Assumptions!$D$73</f>
        <v>3372.58308330421</v>
      </c>
      <c r="AZ61" s="36" t="n">
        <f aca="false">AX61-AY61</f>
        <v>8672.35649992511</v>
      </c>
      <c r="BA61" s="36" t="n">
        <f aca="false">BA60+AZ61</f>
        <v>263785.683263711</v>
      </c>
      <c r="BB61" s="31" t="n">
        <f aca="false">IF(AZ61&gt;=Assumptions!$D$74/12,BB60+1,0)</f>
        <v>0</v>
      </c>
      <c r="BC61" s="31" t="n">
        <f aca="false">IF(OR(BC60=1,BB61&gt;=3),1,0)</f>
        <v>0</v>
      </c>
      <c r="BD61" s="31" t="n">
        <f aca="false">IF(AZ61&gt;=Assumptions!$D$75/12,BD60+1,0)</f>
        <v>5</v>
      </c>
      <c r="BE61" s="33" t="n">
        <f aca="false">AP61*12/52</f>
        <v>59.8027307502077</v>
      </c>
      <c r="BF61" s="33" t="n">
        <f aca="false">AR61*12/52</f>
        <v>34.8027307502077</v>
      </c>
      <c r="BG61" s="31" t="n">
        <f aca="false">IF(AX61&gt;0,A61,999)</f>
        <v>57</v>
      </c>
      <c r="BH61" s="31" t="n">
        <f aca="false">IF(BB61&gt;=3,A61,999)</f>
        <v>999</v>
      </c>
      <c r="BI61" s="31" t="n">
        <f aca="false">IF(BD61&gt;=3,A61,999)</f>
        <v>57</v>
      </c>
    </row>
    <row r="62" customFormat="false" ht="15" hidden="false" customHeight="false" outlineLevel="0" collapsed="false">
      <c r="A62" s="31" t="n">
        <v>58</v>
      </c>
      <c r="B62" s="32" t="n">
        <f aca="false">DATE(2026,10+A62,1)</f>
        <v>48061</v>
      </c>
      <c r="C62" s="31" t="n">
        <f aca="false">INT((A62-1)/12)+1</f>
        <v>5</v>
      </c>
      <c r="D62" s="31" t="n">
        <f aca="false">IF(C62=1,Assumptions!$D$7,IF(C62=2,Assumptions!$D$8,Assumptions!$D$9))</f>
        <v>25</v>
      </c>
      <c r="E62" s="31" t="n">
        <f aca="false">D62*Assumptions!$D$10</f>
        <v>525</v>
      </c>
      <c r="F62" s="33" t="n">
        <f aca="false">E62*Assumptions!$D$11</f>
        <v>42</v>
      </c>
      <c r="G62" s="34" t="n">
        <f aca="false">MIN(1,Assumptions!$D$13+(1-Assumptions!$D$13)*(A62-1)/Assumptions!$D$14)</f>
        <v>1</v>
      </c>
      <c r="H62" s="33" t="n">
        <f aca="false">F62*Assumptions!$D$12*G62</f>
        <v>5.04</v>
      </c>
      <c r="I62" s="33" t="n">
        <f aca="false">Assumptions!$D$15*(Q61+R61+T61+U61)</f>
        <v>1.05201127956637</v>
      </c>
      <c r="J62" s="33" t="n">
        <f aca="false">H62+I62</f>
        <v>6.09201127956637</v>
      </c>
      <c r="K62" s="33" t="n">
        <f aca="false">J62*Assumptions!$D$18</f>
        <v>0</v>
      </c>
      <c r="L62" s="33" t="n">
        <f aca="false">(J62-K62)*Assumptions!$D$17</f>
        <v>4.26440789569646</v>
      </c>
      <c r="M62" s="33" t="n">
        <f aca="false">J62-K62-L62</f>
        <v>1.82760338386991</v>
      </c>
      <c r="N62" s="33" t="n">
        <f aca="false">L62*Assumptions!$D$19</f>
        <v>0.426440789569646</v>
      </c>
      <c r="O62" s="33" t="n">
        <f aca="false">L62-N62</f>
        <v>3.83796710612681</v>
      </c>
      <c r="P62" s="33" t="n">
        <f aca="false">O50*(1-Assumptions!$D$20)^12</f>
        <v>3.31978982943529</v>
      </c>
      <c r="Q62" s="33" t="n">
        <f aca="false">Q61*(1-Assumptions!$D$20)+O62-P62</f>
        <v>43.1626807852617</v>
      </c>
      <c r="R62" s="33" t="n">
        <f aca="false">R61*(1-Assumptions!$D$22)+P62*(1-Assumptions!$D$21)</f>
        <v>52.622773529434</v>
      </c>
      <c r="S62" s="33" t="n">
        <f aca="false">Q62+R62</f>
        <v>95.7854543146958</v>
      </c>
      <c r="T62" s="33" t="n">
        <f aca="false">T61*(1-Assumptions!$D$24)+M62*Assumptions!$D$23</f>
        <v>10.4293391433326</v>
      </c>
      <c r="U62" s="33" t="n">
        <f aca="false">U61*(1-Assumptions!$D$25)+K62</f>
        <v>0</v>
      </c>
      <c r="V62" s="33" t="n">
        <f aca="false">V61+M62</f>
        <v>85.0644668045504</v>
      </c>
      <c r="W62" s="33" t="n">
        <f aca="false">N62+Q61*Assumptions!$D$20+P62*Assumptions!$D$21+R61*Assumptions!$D$22+T61*Assumptions!$D$24+U61*Assumptions!$D$25</f>
        <v>3.79902340946576</v>
      </c>
      <c r="X62" s="33" t="n">
        <f aca="false">IF(A62&lt;Assumptions!$D$34,0,Assumptions!$D$36*MIN(1,(A62-Assumptions!$D$34+1)/Assumptions!$D$35))*(S62+T62)</f>
        <v>21.2429586916057</v>
      </c>
      <c r="Y62" s="31" t="n">
        <f aca="false">IF(Y61&gt;0,Y61,IF(AND(A62&gt;=Assumptions!$D$41,Q61+R61+T61&gt;=Assumptions!$D$40),A62,0))</f>
        <v>13</v>
      </c>
      <c r="Z62" s="33" t="n">
        <f aca="false">IF(Y62&gt;0,Assumptions!$D$42*MIN(1,(A62-Y62+1)/Assumptions!$D$43),0)*(S62+T62)</f>
        <v>31.8644380374085</v>
      </c>
      <c r="AA62" s="35" t="n">
        <f aca="false">(1+Assumptions!$D$32)^(C62-1)</f>
        <v>1.12550881</v>
      </c>
      <c r="AB62" s="36" t="n">
        <f aca="false">O62*Assumptions!$D$27*AA62</f>
        <v>427.646913253157</v>
      </c>
      <c r="AC62" s="36" t="n">
        <f aca="false">(Q61+R61)*Assumptions!$D$28*AA62</f>
        <v>10569.1946493524</v>
      </c>
      <c r="AD62" s="36" t="n">
        <f aca="false">M62*Assumptions!$D$29*AA62</f>
        <v>1026.43487115597</v>
      </c>
      <c r="AE62" s="36" t="n">
        <f aca="false">T61*Assumptions!$D$30*AA62</f>
        <v>919.97509953399</v>
      </c>
      <c r="AF62" s="36" t="n">
        <f aca="false">U61*Assumptions!$D$31*AA62</f>
        <v>0</v>
      </c>
      <c r="AG62" s="36" t="n">
        <f aca="false">X62*Assumptions!$D$37*Assumptions!$D$38</f>
        <v>1487.0071084124</v>
      </c>
      <c r="AH62" s="36" t="n">
        <f aca="false">Z62*Assumptions!$D$44*Assumptions!$D$45</f>
        <v>955.933141122255</v>
      </c>
      <c r="AI62" s="36" t="n">
        <f aca="false">SUM(AB62:AH62)</f>
        <v>15386.1917828302</v>
      </c>
      <c r="AJ62" s="36" t="n">
        <f aca="false">(S62*Assumptions!$D$28+T62*Assumptions!$D$30+U62*Assumptions!$D$31)*AA62+AG62+AH62</f>
        <v>14043.1968809135</v>
      </c>
      <c r="AK62" s="36" t="n">
        <f aca="false">(AI62-AH62)*Assumptions!$D$49</f>
        <v>548.349828384902</v>
      </c>
      <c r="AL62" s="36" t="n">
        <f aca="false">(AC62+AE62+AF62)*Assumptions!$D$50</f>
        <v>80.4241882422051</v>
      </c>
      <c r="AM62" s="36" t="n">
        <f aca="false">S62*Assumptions!$D$51+M62*Assumptions!$D$52</f>
        <v>147.145868651418</v>
      </c>
      <c r="AN62" s="36" t="n">
        <f aca="false">Assumptions!$D$53+Assumptions!$D$54*(S62+T62+U62)</f>
        <v>468.644380374085</v>
      </c>
      <c r="AO62" s="36" t="n">
        <f aca="false">IF(C62&gt;=2,Assumptions!$D$55,0)</f>
        <v>100</v>
      </c>
      <c r="AP62" s="33" t="n">
        <f aca="false">E62*Assumptions!$D$60/60+F62*Assumptions!$D$61+J62*Assumptions!$D$62+(S62+T62)*Assumptions!$D$63+X62*Assumptions!$D$64+Z62*Assumptions!$D$65+U62*Assumptions!$D$66+Assumptions!$D$67*52/12</f>
        <v>260.965280947133</v>
      </c>
      <c r="AQ62" s="33" t="n">
        <f aca="false">IF(BC61=1,Assumptions!$D$69,Assumptions!$D$68)*52/12</f>
        <v>108.333333333333</v>
      </c>
      <c r="AR62" s="33" t="n">
        <f aca="false">MAX(0,AP62-AQ62)</f>
        <v>152.6319476138</v>
      </c>
      <c r="AS62" s="36" t="n">
        <f aca="false">AR62*Assumptions!$D$70*Assumptions!$D$71</f>
        <v>1717.10941065525</v>
      </c>
      <c r="AT62" s="36" t="n">
        <f aca="false">Assumptions!$D$56/12</f>
        <v>75</v>
      </c>
      <c r="AU62" s="36" t="n">
        <f aca="false">IF(A62=1,Assumptions!$D$57,0)+Assumptions!$D$58</f>
        <v>45</v>
      </c>
      <c r="AV62" s="36" t="n">
        <f aca="false">IF(AND(Y62&gt;0,Y62=A62),Assumptions!$D$46,0)+IF(Y62&gt;0,Assumptions!$D$47,0)</f>
        <v>50</v>
      </c>
      <c r="AW62" s="36" t="n">
        <f aca="false">AK62+AL62+AM62+AN62+AO62+AS62+AT62+AU62+AV62</f>
        <v>3231.67367630786</v>
      </c>
      <c r="AX62" s="36" t="n">
        <f aca="false">AI62-AW62</f>
        <v>12154.5181065224</v>
      </c>
      <c r="AY62" s="36" t="n">
        <f aca="false">MAX(0,AX62)*Assumptions!$D$73</f>
        <v>3403.26506982626</v>
      </c>
      <c r="AZ62" s="36" t="n">
        <f aca="false">AX62-AY62</f>
        <v>8751.2530366961</v>
      </c>
      <c r="BA62" s="36" t="n">
        <f aca="false">BA61+AZ62</f>
        <v>272536.936300407</v>
      </c>
      <c r="BB62" s="31" t="n">
        <f aca="false">IF(AZ62&gt;=Assumptions!$D$74/12,BB61+1,0)</f>
        <v>0</v>
      </c>
      <c r="BC62" s="31" t="n">
        <f aca="false">IF(OR(BC61=1,BB62&gt;=3),1,0)</f>
        <v>0</v>
      </c>
      <c r="BD62" s="31" t="n">
        <f aca="false">IF(AZ62&gt;=Assumptions!$D$75/12,BD61+1,0)</f>
        <v>6</v>
      </c>
      <c r="BE62" s="33" t="n">
        <f aca="false">AP62*12/52</f>
        <v>60.2227571416461</v>
      </c>
      <c r="BF62" s="33" t="n">
        <f aca="false">AR62*12/52</f>
        <v>35.2227571416461</v>
      </c>
      <c r="BG62" s="31" t="n">
        <f aca="false">IF(AX62&gt;0,A62,999)</f>
        <v>58</v>
      </c>
      <c r="BH62" s="31" t="n">
        <f aca="false">IF(BB62&gt;=3,A62,999)</f>
        <v>999</v>
      </c>
      <c r="BI62" s="31" t="n">
        <f aca="false">IF(BD62&gt;=3,A62,999)</f>
        <v>58</v>
      </c>
    </row>
    <row r="63" customFormat="false" ht="15" hidden="false" customHeight="false" outlineLevel="0" collapsed="false">
      <c r="A63" s="31" t="n">
        <v>59</v>
      </c>
      <c r="B63" s="32" t="n">
        <f aca="false">DATE(2026,10+A63,1)</f>
        <v>48092</v>
      </c>
      <c r="C63" s="31" t="n">
        <f aca="false">INT((A63-1)/12)+1</f>
        <v>5</v>
      </c>
      <c r="D63" s="31" t="n">
        <f aca="false">IF(C63=1,Assumptions!$D$7,IF(C63=2,Assumptions!$D$8,Assumptions!$D$9))</f>
        <v>25</v>
      </c>
      <c r="E63" s="31" t="n">
        <f aca="false">D63*Assumptions!$D$10</f>
        <v>525</v>
      </c>
      <c r="F63" s="33" t="n">
        <f aca="false">E63*Assumptions!$D$11</f>
        <v>42</v>
      </c>
      <c r="G63" s="34" t="n">
        <f aca="false">MIN(1,Assumptions!$D$13+(1-Assumptions!$D$13)*(A63-1)/Assumptions!$D$14)</f>
        <v>1</v>
      </c>
      <c r="H63" s="33" t="n">
        <f aca="false">F63*Assumptions!$D$12*G63</f>
        <v>5.04</v>
      </c>
      <c r="I63" s="33" t="n">
        <f aca="false">Assumptions!$D$15*(Q62+R62+T62+U62)</f>
        <v>1.06214793458028</v>
      </c>
      <c r="J63" s="33" t="n">
        <f aca="false">H63+I63</f>
        <v>6.10214793458028</v>
      </c>
      <c r="K63" s="33" t="n">
        <f aca="false">J63*Assumptions!$D$18</f>
        <v>0</v>
      </c>
      <c r="L63" s="33" t="n">
        <f aca="false">(J63-K63)*Assumptions!$D$17</f>
        <v>4.2715035542062</v>
      </c>
      <c r="M63" s="33" t="n">
        <f aca="false">J63-K63-L63</f>
        <v>1.83064438037409</v>
      </c>
      <c r="N63" s="33" t="n">
        <f aca="false">L63*Assumptions!$D$19</f>
        <v>0.42715035542062</v>
      </c>
      <c r="O63" s="33" t="n">
        <f aca="false">L63-N63</f>
        <v>3.84435319878558</v>
      </c>
      <c r="P63" s="33" t="n">
        <f aca="false">O51*(1-Assumptions!$D$20)^12</f>
        <v>3.32775670478142</v>
      </c>
      <c r="Q63" s="33" t="n">
        <f aca="false">Q62*(1-Assumptions!$D$20)+O63-P63</f>
        <v>43.2476504714133</v>
      </c>
      <c r="R63" s="33" t="n">
        <f aca="false">R62*(1-Assumptions!$D$22)+P63*(1-Assumptions!$D$21)</f>
        <v>53.443181819729</v>
      </c>
      <c r="S63" s="33" t="n">
        <f aca="false">Q63+R63</f>
        <v>96.6908322911422</v>
      </c>
      <c r="T63" s="33" t="n">
        <f aca="false">T62*(1-Assumptions!$D$24)+M63*Assumptions!$D$23</f>
        <v>10.5092121959948</v>
      </c>
      <c r="U63" s="33" t="n">
        <f aca="false">U62*(1-Assumptions!$D$25)+K63</f>
        <v>0</v>
      </c>
      <c r="V63" s="33" t="n">
        <f aca="false">V62+M63</f>
        <v>86.8951111849245</v>
      </c>
      <c r="W63" s="33" t="n">
        <f aca="false">N63+Q62*Assumptions!$D$20+P63*Assumptions!$D$21+R62*Assumptions!$D$22+T62*Assumptions!$D$24+U62*Assumptions!$D$25</f>
        <v>3.83544583920968</v>
      </c>
      <c r="X63" s="33" t="n">
        <f aca="false">IF(A63&lt;Assumptions!$D$34,0,Assumptions!$D$36*MIN(1,(A63-Assumptions!$D$34+1)/Assumptions!$D$35))*(S63+T63)</f>
        <v>21.4400088974274</v>
      </c>
      <c r="Y63" s="31" t="n">
        <f aca="false">IF(Y62&gt;0,Y62,IF(AND(A63&gt;=Assumptions!$D$41,Q62+R62+T62&gt;=Assumptions!$D$40),A63,0))</f>
        <v>13</v>
      </c>
      <c r="Z63" s="33" t="n">
        <f aca="false">IF(Y63&gt;0,Assumptions!$D$42*MIN(1,(A63-Y63+1)/Assumptions!$D$43),0)*(S63+T63)</f>
        <v>32.1600133461411</v>
      </c>
      <c r="AA63" s="35" t="n">
        <f aca="false">(1+Assumptions!$D$32)^(C63-1)</f>
        <v>1.12550881</v>
      </c>
      <c r="AB63" s="36" t="n">
        <f aca="false">O63*Assumptions!$D$27*AA63</f>
        <v>428.3584860045</v>
      </c>
      <c r="AC63" s="36" t="n">
        <f aca="false">(Q62+R62)*Assumptions!$D$28*AA63</f>
        <v>10672.9298974032</v>
      </c>
      <c r="AD63" s="36" t="n">
        <f aca="false">M63*Assumptions!$D$29*AA63</f>
        <v>1028.14278266592</v>
      </c>
      <c r="AE63" s="36" t="n">
        <f aca="false">T62*Assumptions!$D$30*AA63</f>
        <v>927.326733975595</v>
      </c>
      <c r="AF63" s="36" t="n">
        <f aca="false">U62*Assumptions!$D$31*AA63</f>
        <v>0</v>
      </c>
      <c r="AG63" s="36" t="n">
        <f aca="false">X63*Assumptions!$D$37*Assumptions!$D$38</f>
        <v>1500.80062281992</v>
      </c>
      <c r="AH63" s="36" t="n">
        <f aca="false">Z63*Assumptions!$D$44*Assumptions!$D$45</f>
        <v>964.800400384234</v>
      </c>
      <c r="AI63" s="36" t="n">
        <f aca="false">SUM(AB63:AH63)</f>
        <v>15522.3589232534</v>
      </c>
      <c r="AJ63" s="36" t="n">
        <f aca="false">(S63*Assumptions!$D$28+T63*Assumptions!$D$30+U63*Assumptions!$D$31)*AA63+AG63+AH63</f>
        <v>14173.8416607129</v>
      </c>
      <c r="AK63" s="36" t="n">
        <f aca="false">(AI63-AH63)*Assumptions!$D$49</f>
        <v>553.187223869028</v>
      </c>
      <c r="AL63" s="36" t="n">
        <f aca="false">(AC63+AE63+AF63)*Assumptions!$D$50</f>
        <v>81.2017964196517</v>
      </c>
      <c r="AM63" s="36" t="n">
        <f aca="false">S63*Assumptions!$D$51+M63*Assumptions!$D$52</f>
        <v>148.323206069539</v>
      </c>
      <c r="AN63" s="36" t="n">
        <f aca="false">Assumptions!$D$53+Assumptions!$D$54*(S63+T63+U63)</f>
        <v>471.600133461411</v>
      </c>
      <c r="AO63" s="36" t="n">
        <f aca="false">IF(C63&gt;=2,Assumptions!$D$55,0)</f>
        <v>100</v>
      </c>
      <c r="AP63" s="33" t="n">
        <f aca="false">E63*Assumptions!$D$60/60+F63*Assumptions!$D$61+J63*Assumptions!$D$62+(S63+T63)*Assumptions!$D$63+X63*Assumptions!$D$64+Z63*Assumptions!$D$65+U63*Assumptions!$D$66+Assumptions!$D$67*52/12</f>
        <v>262.734374833829</v>
      </c>
      <c r="AQ63" s="33" t="n">
        <f aca="false">IF(BC62=1,Assumptions!$D$69,Assumptions!$D$68)*52/12</f>
        <v>108.333333333333</v>
      </c>
      <c r="AR63" s="33" t="n">
        <f aca="false">MAX(0,AP63-AQ63)</f>
        <v>154.401041500496</v>
      </c>
      <c r="AS63" s="36" t="n">
        <f aca="false">AR63*Assumptions!$D$70*Assumptions!$D$71</f>
        <v>1737.01171688058</v>
      </c>
      <c r="AT63" s="36" t="n">
        <f aca="false">Assumptions!$D$56/12</f>
        <v>75</v>
      </c>
      <c r="AU63" s="36" t="n">
        <f aca="false">IF(A63=1,Assumptions!$D$57,0)+Assumptions!$D$58</f>
        <v>45</v>
      </c>
      <c r="AV63" s="36" t="n">
        <f aca="false">IF(AND(Y63&gt;0,Y63=A63),Assumptions!$D$46,0)+IF(Y63&gt;0,Assumptions!$D$47,0)</f>
        <v>50</v>
      </c>
      <c r="AW63" s="36" t="n">
        <f aca="false">AK63+AL63+AM63+AN63+AO63+AS63+AT63+AU63+AV63</f>
        <v>3261.32407670021</v>
      </c>
      <c r="AX63" s="36" t="n">
        <f aca="false">AI63-AW63</f>
        <v>12261.0348465532</v>
      </c>
      <c r="AY63" s="36" t="n">
        <f aca="false">MAX(0,AX63)*Assumptions!$D$73</f>
        <v>3433.08975703489</v>
      </c>
      <c r="AZ63" s="36" t="n">
        <f aca="false">AX63-AY63</f>
        <v>8827.94508951829</v>
      </c>
      <c r="BA63" s="36" t="n">
        <f aca="false">BA62+AZ63</f>
        <v>281364.881389926</v>
      </c>
      <c r="BB63" s="31" t="n">
        <f aca="false">IF(AZ63&gt;=Assumptions!$D$74/12,BB62+1,0)</f>
        <v>0</v>
      </c>
      <c r="BC63" s="31" t="n">
        <f aca="false">IF(OR(BC62=1,BB63&gt;=3),1,0)</f>
        <v>0</v>
      </c>
      <c r="BD63" s="31" t="n">
        <f aca="false">IF(AZ63&gt;=Assumptions!$D$75/12,BD62+1,0)</f>
        <v>7</v>
      </c>
      <c r="BE63" s="33" t="n">
        <f aca="false">AP63*12/52</f>
        <v>60.6310095770374</v>
      </c>
      <c r="BF63" s="33" t="n">
        <f aca="false">AR63*12/52</f>
        <v>35.6310095770374</v>
      </c>
      <c r="BG63" s="31" t="n">
        <f aca="false">IF(AX63&gt;0,A63,999)</f>
        <v>59</v>
      </c>
      <c r="BH63" s="31" t="n">
        <f aca="false">IF(BB63&gt;=3,A63,999)</f>
        <v>999</v>
      </c>
      <c r="BI63" s="31" t="n">
        <f aca="false">IF(BD63&gt;=3,A63,999)</f>
        <v>59</v>
      </c>
    </row>
    <row r="64" customFormat="false" ht="15" hidden="false" customHeight="false" outlineLevel="0" collapsed="false">
      <c r="A64" s="37" t="n">
        <v>60</v>
      </c>
      <c r="B64" s="38" t="n">
        <f aca="false">DATE(2026,10+A64,1)</f>
        <v>48122</v>
      </c>
      <c r="C64" s="37" t="n">
        <f aca="false">INT((A64-1)/12)+1</f>
        <v>5</v>
      </c>
      <c r="D64" s="37" t="n">
        <f aca="false">IF(C64=1,Assumptions!$D$7,IF(C64=2,Assumptions!$D$8,Assumptions!$D$9))</f>
        <v>25</v>
      </c>
      <c r="E64" s="37" t="n">
        <f aca="false">D64*Assumptions!$D$10</f>
        <v>525</v>
      </c>
      <c r="F64" s="39" t="n">
        <f aca="false">E64*Assumptions!$D$11</f>
        <v>42</v>
      </c>
      <c r="G64" s="40" t="n">
        <f aca="false">MIN(1,Assumptions!$D$13+(1-Assumptions!$D$13)*(A64-1)/Assumptions!$D$14)</f>
        <v>1</v>
      </c>
      <c r="H64" s="39" t="n">
        <f aca="false">F64*Assumptions!$D$12*G64</f>
        <v>5.04</v>
      </c>
      <c r="I64" s="39" t="n">
        <f aca="false">Assumptions!$D$15*(Q63+R63+T63+U63)</f>
        <v>1.07200044487137</v>
      </c>
      <c r="J64" s="39" t="n">
        <f aca="false">H64+I64</f>
        <v>6.11200044487137</v>
      </c>
      <c r="K64" s="39" t="n">
        <f aca="false">J64*Assumptions!$D$18</f>
        <v>0</v>
      </c>
      <c r="L64" s="39" t="n">
        <f aca="false">(J64-K64)*Assumptions!$D$17</f>
        <v>4.27840031140996</v>
      </c>
      <c r="M64" s="39" t="n">
        <f aca="false">J64-K64-L64</f>
        <v>1.83360013346141</v>
      </c>
      <c r="N64" s="39" t="n">
        <f aca="false">L64*Assumptions!$D$19</f>
        <v>0.427840031140996</v>
      </c>
      <c r="O64" s="39" t="n">
        <f aca="false">L64-N64</f>
        <v>3.85056028026896</v>
      </c>
      <c r="P64" s="39" t="n">
        <f aca="false">O52*(1-Assumptions!$D$20)^12</f>
        <v>3.33549946887995</v>
      </c>
      <c r="Q64" s="39" t="n">
        <f aca="false">Q63*(1-Assumptions!$D$20)+O64-P64</f>
        <v>43.3302347780882</v>
      </c>
      <c r="R64" s="39" t="n">
        <f aca="false">R63*(1-Assumptions!$D$22)+P64*(1-Assumptions!$D$21)</f>
        <v>54.2410700311424</v>
      </c>
      <c r="S64" s="39" t="n">
        <f aca="false">Q64+R64</f>
        <v>97.5713048092306</v>
      </c>
      <c r="T64" s="39" t="n">
        <f aca="false">T63*(1-Assumptions!$D$24)+M64*Assumptions!$D$23</f>
        <v>10.5863776872135</v>
      </c>
      <c r="U64" s="39" t="n">
        <f aca="false">U63*(1-Assumptions!$D$25)+K64</f>
        <v>0</v>
      </c>
      <c r="V64" s="39" t="n">
        <f aca="false">V63+M64</f>
        <v>88.7287113183859</v>
      </c>
      <c r="W64" s="39" t="n">
        <f aca="false">N64+Q63*Assumptions!$D$20+P64*Assumptions!$D$21+R63*Assumptions!$D$22+T63*Assumptions!$D$24+U63*Assumptions!$D$25</f>
        <v>3.8708423421414</v>
      </c>
      <c r="X64" s="39" t="n">
        <f aca="false">IF(A64&lt;Assumptions!$D$34,0,Assumptions!$D$36*MIN(1,(A64-Assumptions!$D$34+1)/Assumptions!$D$35))*(S64+T64)</f>
        <v>21.6315364992888</v>
      </c>
      <c r="Y64" s="37" t="n">
        <f aca="false">IF(Y63&gt;0,Y63,IF(AND(A64&gt;=Assumptions!$D$41,Q63+R63+T63&gt;=Assumptions!$D$40),A64,0))</f>
        <v>13</v>
      </c>
      <c r="Z64" s="39" t="n">
        <f aca="false">IF(Y64&gt;0,Assumptions!$D$42*MIN(1,(A64-Y64+1)/Assumptions!$D$43),0)*(S64+T64)</f>
        <v>32.4473047489332</v>
      </c>
      <c r="AA64" s="41" t="n">
        <f aca="false">(1+Assumptions!$D$32)^(C64-1)</f>
        <v>1.12550881</v>
      </c>
      <c r="AB64" s="42" t="n">
        <f aca="false">O64*Assumptions!$D$27*AA64</f>
        <v>429.050112369</v>
      </c>
      <c r="AC64" s="42" t="n">
        <f aca="false">(Q63+R63)*Assumptions!$D$28*AA64</f>
        <v>10773.8119754014</v>
      </c>
      <c r="AD64" s="42" t="n">
        <f aca="false">M64*Assumptions!$D$29*AA64</f>
        <v>1029.80281900977</v>
      </c>
      <c r="AE64" s="42" t="n">
        <f aca="false">T63*Assumptions!$D$30*AA64</f>
        <v>934.428662107379</v>
      </c>
      <c r="AF64" s="42" t="n">
        <f aca="false">U63*Assumptions!$D$31*AA64</f>
        <v>0</v>
      </c>
      <c r="AG64" s="42" t="n">
        <f aca="false">X64*Assumptions!$D$37*Assumptions!$D$38</f>
        <v>1514.20755495022</v>
      </c>
      <c r="AH64" s="42" t="n">
        <f aca="false">Z64*Assumptions!$D$44*Assumptions!$D$45</f>
        <v>973.419142467997</v>
      </c>
      <c r="AI64" s="42" t="n">
        <f aca="false">SUM(AB64:AH64)</f>
        <v>15654.7202663058</v>
      </c>
      <c r="AJ64" s="42" t="n">
        <f aca="false">(S64*Assumptions!$D$28+T64*Assumptions!$D$30+U64*Assumptions!$D$31)*AA64+AG64+AH64</f>
        <v>14300.8354977334</v>
      </c>
      <c r="AK64" s="42" t="n">
        <f aca="false">(AI64-AH64)*Assumptions!$D$49</f>
        <v>557.889442705835</v>
      </c>
      <c r="AL64" s="42" t="n">
        <f aca="false">(AC64+AE64+AF64)*Assumptions!$D$50</f>
        <v>81.9576844625614</v>
      </c>
      <c r="AM64" s="42" t="n">
        <f aca="false">S64*Assumptions!$D$51+M64*Assumptions!$D$52</f>
        <v>149.468133013459</v>
      </c>
      <c r="AN64" s="42" t="n">
        <f aca="false">Assumptions!$D$53+Assumptions!$D$54*(S64+T64+U64)</f>
        <v>474.473047489332</v>
      </c>
      <c r="AO64" s="42" t="n">
        <f aca="false">IF(C64&gt;=2,Assumptions!$D$55,0)</f>
        <v>100</v>
      </c>
      <c r="AP64" s="39" t="n">
        <f aca="false">E64*Assumptions!$D$60/60+F64*Assumptions!$D$61+J64*Assumptions!$D$62+(S64+T64)*Assumptions!$D$63+X64*Assumptions!$D$64+Z64*Assumptions!$D$65+U64*Assumptions!$D$66+Assumptions!$D$67*52/12</f>
        <v>264.453887320931</v>
      </c>
      <c r="AQ64" s="39" t="n">
        <f aca="false">IF(BC63=1,Assumptions!$D$69,Assumptions!$D$68)*52/12</f>
        <v>108.333333333333</v>
      </c>
      <c r="AR64" s="39" t="n">
        <f aca="false">MAX(0,AP64-AQ64)</f>
        <v>156.120553987598</v>
      </c>
      <c r="AS64" s="42" t="n">
        <f aca="false">AR64*Assumptions!$D$70*Assumptions!$D$71</f>
        <v>1756.35623236047</v>
      </c>
      <c r="AT64" s="42" t="n">
        <f aca="false">Assumptions!$D$56/12</f>
        <v>75</v>
      </c>
      <c r="AU64" s="42" t="n">
        <f aca="false">IF(A64=1,Assumptions!$D$57,0)+Assumptions!$D$58</f>
        <v>45</v>
      </c>
      <c r="AV64" s="42" t="n">
        <f aca="false">IF(AND(Y64&gt;0,Y64=A64),Assumptions!$D$46,0)+IF(Y64&gt;0,Assumptions!$D$47,0)</f>
        <v>50</v>
      </c>
      <c r="AW64" s="42" t="n">
        <f aca="false">AK64+AL64+AM64+AN64+AO64+AS64+AT64+AU64+AV64</f>
        <v>3290.14454003166</v>
      </c>
      <c r="AX64" s="42" t="n">
        <f aca="false">AI64-AW64</f>
        <v>12364.5757262741</v>
      </c>
      <c r="AY64" s="42" t="n">
        <f aca="false">MAX(0,AX64)*Assumptions!$D$73</f>
        <v>3462.08120335675</v>
      </c>
      <c r="AZ64" s="42" t="n">
        <f aca="false">AX64-AY64</f>
        <v>8902.49452291735</v>
      </c>
      <c r="BA64" s="42" t="n">
        <f aca="false">BA63+AZ64</f>
        <v>290267.375912843</v>
      </c>
      <c r="BB64" s="37" t="n">
        <f aca="false">IF(AZ64&gt;=Assumptions!$D$74/12,BB63+1,0)</f>
        <v>0</v>
      </c>
      <c r="BC64" s="37" t="n">
        <f aca="false">IF(OR(BC63=1,BB64&gt;=3),1,0)</f>
        <v>0</v>
      </c>
      <c r="BD64" s="37" t="n">
        <f aca="false">IF(AZ64&gt;=Assumptions!$D$75/12,BD63+1,0)</f>
        <v>8</v>
      </c>
      <c r="BE64" s="39" t="n">
        <f aca="false">AP64*12/52</f>
        <v>61.0278201509841</v>
      </c>
      <c r="BF64" s="39" t="n">
        <f aca="false">AR64*12/52</f>
        <v>36.0278201509841</v>
      </c>
      <c r="BG64" s="37" t="n">
        <f aca="false">IF(AX64&gt;0,A64,999)</f>
        <v>60</v>
      </c>
      <c r="BH64" s="37" t="n">
        <f aca="false">IF(BB64&gt;=3,A64,999)</f>
        <v>999</v>
      </c>
      <c r="BI64" s="37" t="n">
        <f aca="false">IF(BD64&gt;=3,A64,999)</f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I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61" min="3" style="0" width="11"/>
  </cols>
  <sheetData>
    <row r="1" customFormat="false" ht="15" hidden="false" customHeight="false" outlineLevel="0" collapsed="false">
      <c r="A1" s="30" t="s">
        <v>257</v>
      </c>
    </row>
    <row r="2" customFormat="false" ht="15" hidden="false" customHeight="false" outlineLevel="0" collapsed="false">
      <c r="A2" s="2" t="s">
        <v>197</v>
      </c>
      <c r="D2" s="2" t="s">
        <v>198</v>
      </c>
    </row>
    <row r="4" customFormat="false" ht="54" hidden="false" customHeight="true" outlineLevel="0" collapsed="false">
      <c r="A4" s="16" t="s">
        <v>199</v>
      </c>
      <c r="B4" s="16" t="s">
        <v>200</v>
      </c>
      <c r="C4" s="16" t="s">
        <v>57</v>
      </c>
      <c r="D4" s="16" t="s">
        <v>201</v>
      </c>
      <c r="E4" s="16" t="s">
        <v>202</v>
      </c>
      <c r="F4" s="16" t="s">
        <v>203</v>
      </c>
      <c r="G4" s="16" t="s">
        <v>204</v>
      </c>
      <c r="H4" s="16" t="s">
        <v>205</v>
      </c>
      <c r="I4" s="16" t="s">
        <v>206</v>
      </c>
      <c r="J4" s="16" t="s">
        <v>207</v>
      </c>
      <c r="K4" s="16" t="s">
        <v>208</v>
      </c>
      <c r="L4" s="16" t="s">
        <v>209</v>
      </c>
      <c r="M4" s="16" t="s">
        <v>210</v>
      </c>
      <c r="N4" s="16" t="s">
        <v>211</v>
      </c>
      <c r="O4" s="16" t="s">
        <v>212</v>
      </c>
      <c r="P4" s="16" t="s">
        <v>213</v>
      </c>
      <c r="Q4" s="16" t="s">
        <v>214</v>
      </c>
      <c r="R4" s="16" t="s">
        <v>215</v>
      </c>
      <c r="S4" s="16" t="s">
        <v>216</v>
      </c>
      <c r="T4" s="16" t="s">
        <v>217</v>
      </c>
      <c r="U4" s="16" t="s">
        <v>218</v>
      </c>
      <c r="V4" s="16" t="s">
        <v>11</v>
      </c>
      <c r="W4" s="16" t="s">
        <v>219</v>
      </c>
      <c r="X4" s="16" t="s">
        <v>220</v>
      </c>
      <c r="Y4" s="16" t="s">
        <v>221</v>
      </c>
      <c r="Z4" s="16" t="s">
        <v>222</v>
      </c>
      <c r="AA4" s="16" t="s">
        <v>223</v>
      </c>
      <c r="AB4" s="16" t="s">
        <v>224</v>
      </c>
      <c r="AC4" s="16" t="s">
        <v>225</v>
      </c>
      <c r="AD4" s="16" t="s">
        <v>226</v>
      </c>
      <c r="AE4" s="16" t="s">
        <v>227</v>
      </c>
      <c r="AF4" s="16" t="s">
        <v>228</v>
      </c>
      <c r="AG4" s="16" t="s">
        <v>229</v>
      </c>
      <c r="AH4" s="16" t="s">
        <v>230</v>
      </c>
      <c r="AI4" s="16" t="s">
        <v>17</v>
      </c>
      <c r="AJ4" s="16" t="s">
        <v>231</v>
      </c>
      <c r="AK4" s="16" t="s">
        <v>232</v>
      </c>
      <c r="AL4" s="16" t="s">
        <v>233</v>
      </c>
      <c r="AM4" s="16" t="s">
        <v>234</v>
      </c>
      <c r="AN4" s="16" t="s">
        <v>235</v>
      </c>
      <c r="AO4" s="16" t="s">
        <v>236</v>
      </c>
      <c r="AP4" s="16" t="s">
        <v>237</v>
      </c>
      <c r="AQ4" s="16" t="s">
        <v>238</v>
      </c>
      <c r="AR4" s="16" t="s">
        <v>239</v>
      </c>
      <c r="AS4" s="16" t="s">
        <v>240</v>
      </c>
      <c r="AT4" s="16" t="s">
        <v>241</v>
      </c>
      <c r="AU4" s="16" t="s">
        <v>242</v>
      </c>
      <c r="AV4" s="16" t="s">
        <v>243</v>
      </c>
      <c r="AW4" s="16" t="s">
        <v>244</v>
      </c>
      <c r="AX4" s="16" t="s">
        <v>20</v>
      </c>
      <c r="AY4" s="16" t="s">
        <v>245</v>
      </c>
      <c r="AZ4" s="16" t="s">
        <v>246</v>
      </c>
      <c r="BA4" s="16" t="s">
        <v>247</v>
      </c>
      <c r="BB4" s="16" t="s">
        <v>248</v>
      </c>
      <c r="BC4" s="16" t="s">
        <v>249</v>
      </c>
      <c r="BD4" s="16" t="s">
        <v>250</v>
      </c>
      <c r="BE4" s="16" t="s">
        <v>251</v>
      </c>
      <c r="BF4" s="16" t="s">
        <v>252</v>
      </c>
      <c r="BG4" s="16" t="s">
        <v>253</v>
      </c>
      <c r="BH4" s="16" t="s">
        <v>254</v>
      </c>
      <c r="BI4" s="16" t="s">
        <v>255</v>
      </c>
    </row>
    <row r="5" customFormat="false" ht="15" hidden="false" customHeight="false" outlineLevel="0" collapsed="false">
      <c r="A5" s="31" t="n">
        <v>1</v>
      </c>
      <c r="B5" s="32" t="n">
        <f aca="false">DATE(2026,10+A5,1)</f>
        <v>46327</v>
      </c>
      <c r="C5" s="31" t="n">
        <f aca="false">INT((A5-1)/12)+1</f>
        <v>1</v>
      </c>
      <c r="D5" s="31" t="n">
        <f aca="false">IF(C5=1,Assumptions!$E$7,IF(C5=2,Assumptions!$E$8,Assumptions!$E$9))</f>
        <v>20</v>
      </c>
      <c r="E5" s="31" t="n">
        <f aca="false">D5*Assumptions!$E$10</f>
        <v>440</v>
      </c>
      <c r="F5" s="33" t="n">
        <f aca="false">E5*Assumptions!$E$11</f>
        <v>44</v>
      </c>
      <c r="G5" s="34" t="n">
        <f aca="false">MIN(1,Assumptions!$E$13+(1-Assumptions!$E$13)*(A5-1)/Assumptions!$E$14)</f>
        <v>0.6</v>
      </c>
      <c r="H5" s="33" t="n">
        <f aca="false">F5*Assumptions!$E$12*G5</f>
        <v>3.96</v>
      </c>
      <c r="I5" s="33" t="n">
        <f aca="false">Assumptions!$E$15*(0+0+0+0)</f>
        <v>0</v>
      </c>
      <c r="J5" s="33" t="n">
        <f aca="false">H5+I5</f>
        <v>3.96</v>
      </c>
      <c r="K5" s="33" t="n">
        <f aca="false">J5*Assumptions!$E$18</f>
        <v>0.198</v>
      </c>
      <c r="L5" s="33" t="n">
        <f aca="false">(J5-K5)*Assumptions!$E$17</f>
        <v>2.6334</v>
      </c>
      <c r="M5" s="33" t="n">
        <f aca="false">J5-K5-L5</f>
        <v>1.1286</v>
      </c>
      <c r="N5" s="33" t="n">
        <f aca="false">L5*Assumptions!$E$19</f>
        <v>0.13167</v>
      </c>
      <c r="O5" s="33" t="n">
        <f aca="false">L5-N5</f>
        <v>2.50173</v>
      </c>
      <c r="P5" s="33" t="n">
        <f aca="false">0</f>
        <v>0</v>
      </c>
      <c r="Q5" s="33" t="n">
        <f aca="false">0*(1-Assumptions!$E$20)+O5-P5</f>
        <v>2.50173</v>
      </c>
      <c r="R5" s="33" t="n">
        <f aca="false">0*(1-Assumptions!$E$22)+P5*(1-Assumptions!$E$21)</f>
        <v>0</v>
      </c>
      <c r="S5" s="33" t="n">
        <f aca="false">Q5+R5</f>
        <v>2.50173</v>
      </c>
      <c r="T5" s="33" t="n">
        <f aca="false">0*(1-Assumptions!$E$24)+M5*Assumptions!$E$23</f>
        <v>0.45144</v>
      </c>
      <c r="U5" s="33" t="n">
        <f aca="false">0*(1-Assumptions!$E$25)+K5</f>
        <v>0.198</v>
      </c>
      <c r="V5" s="33" t="n">
        <f aca="false">0+M5</f>
        <v>1.1286</v>
      </c>
      <c r="W5" s="33" t="n">
        <f aca="false">N5+0*Assumptions!$E$20+P5*Assumptions!$E$21+0*Assumptions!$E$22+0*Assumptions!$E$24+0*Assumptions!$E$25</f>
        <v>0.13167</v>
      </c>
      <c r="X5" s="33" t="n">
        <f aca="false">IF(A5&lt;Assumptions!$E$34,0,Assumptions!$E$36*MIN(1,(A5-Assumptions!$E$34+1)/Assumptions!$E$35))*(S5+T5)</f>
        <v>0</v>
      </c>
      <c r="Y5" s="31" t="n">
        <f aca="false">IF(AND(A5&gt;=Assumptions!$E$41,0+0+0&gt;=Assumptions!$E$40),A5,0)</f>
        <v>0</v>
      </c>
      <c r="Z5" s="33" t="n">
        <f aca="false">IF(Y5&gt;0,Assumptions!$E$42*MIN(1,(A5-Y5+1)/Assumptions!$E$43),0)*(S5+T5)</f>
        <v>0</v>
      </c>
      <c r="AA5" s="35" t="n">
        <f aca="false">(1+Assumptions!$E$32)^(C5-1)</f>
        <v>1</v>
      </c>
      <c r="AB5" s="36" t="n">
        <f aca="false">O5*Assumptions!$E$27*AA5</f>
        <v>247.67127</v>
      </c>
      <c r="AC5" s="36" t="n">
        <f aca="false">(0+0)*Assumptions!$E$28*AA5</f>
        <v>0</v>
      </c>
      <c r="AD5" s="36" t="n">
        <f aca="false">M5*Assumptions!$E$29*AA5</f>
        <v>563.1714</v>
      </c>
      <c r="AE5" s="36" t="n">
        <f aca="false">0*Assumptions!$E$30*AA5</f>
        <v>0</v>
      </c>
      <c r="AF5" s="36" t="n">
        <f aca="false">0*Assumptions!$E$31*AA5</f>
        <v>0</v>
      </c>
      <c r="AG5" s="36" t="n">
        <f aca="false">X5*Assumptions!$E$37*Assumptions!$E$38</f>
        <v>0</v>
      </c>
      <c r="AH5" s="36" t="n">
        <f aca="false">Z5*Assumptions!$E$44*Assumptions!$E$45</f>
        <v>0</v>
      </c>
      <c r="AI5" s="36" t="n">
        <f aca="false">SUM(AB5:AH5)</f>
        <v>810.84267</v>
      </c>
      <c r="AJ5" s="36" t="n">
        <f aca="false">(S5*Assumptions!$E$28+T5*Assumptions!$E$30+U5*Assumptions!$E$31)*AA5+AG5+AH5</f>
        <v>362.33703</v>
      </c>
      <c r="AK5" s="36" t="n">
        <f aca="false">(AI5-AH5)*Assumptions!$E$49</f>
        <v>28.37949345</v>
      </c>
      <c r="AL5" s="36" t="n">
        <f aca="false">(AC5+AE5+AF5)*Assumptions!$E$50</f>
        <v>0</v>
      </c>
      <c r="AM5" s="36" t="n">
        <f aca="false">S5*Assumptions!$E$51+M5*Assumptions!$E$52</f>
        <v>20.0561625</v>
      </c>
      <c r="AN5" s="36" t="n">
        <f aca="false">Assumptions!$E$53+Assumptions!$E$54*(S5+T5+U5)</f>
        <v>126.30234</v>
      </c>
      <c r="AO5" s="36" t="n">
        <f aca="false">IF(C5&gt;=2,Assumptions!$E$55,0)</f>
        <v>0</v>
      </c>
      <c r="AP5" s="33" t="n">
        <f aca="false">E5*Assumptions!$E$60/60+F5*Assumptions!$E$61+J5*Assumptions!$E$62+(S5+T5)*Assumptions!$E$63+X5*Assumptions!$E$64+Z5*Assumptions!$E$65+U5*Assumptions!$E$66+Assumptions!$E$67*52/12</f>
        <v>55.1498366666667</v>
      </c>
      <c r="AQ5" s="33" t="n">
        <f aca="false">IF(0=1,Assumptions!$E$69,Assumptions!$E$68)*52/12</f>
        <v>130</v>
      </c>
      <c r="AR5" s="33" t="n">
        <f aca="false">MAX(0,AP5-AQ5)</f>
        <v>0</v>
      </c>
      <c r="AS5" s="36" t="n">
        <f aca="false">AR5*Assumptions!$E$70*Assumptions!$E$71</f>
        <v>0</v>
      </c>
      <c r="AT5" s="36" t="n">
        <f aca="false">Assumptions!$E$56/12</f>
        <v>66.6666666666667</v>
      </c>
      <c r="AU5" s="36" t="n">
        <f aca="false">IF(A5=1,Assumptions!$E$57,0)+Assumptions!$E$58</f>
        <v>340</v>
      </c>
      <c r="AV5" s="36" t="n">
        <f aca="false">IF(AND(Y5&gt;0,Y5=A5),Assumptions!$E$46,0)+IF(Y5&gt;0,Assumptions!$E$47,0)</f>
        <v>0</v>
      </c>
      <c r="AW5" s="36" t="n">
        <f aca="false">AK5+AL5+AM5+AN5+AO5+AS5+AT5+AU5+AV5</f>
        <v>581.404662616667</v>
      </c>
      <c r="AX5" s="36" t="n">
        <f aca="false">AI5-AW5</f>
        <v>229.438007383333</v>
      </c>
      <c r="AY5" s="36" t="n">
        <f aca="false">MAX(0,AX5)*Assumptions!$E$73</f>
        <v>57.3595018458333</v>
      </c>
      <c r="AZ5" s="36" t="n">
        <f aca="false">AX5-AY5</f>
        <v>172.0785055375</v>
      </c>
      <c r="BA5" s="36" t="n">
        <f aca="false">0+AZ5</f>
        <v>172.0785055375</v>
      </c>
      <c r="BB5" s="31" t="n">
        <f aca="false">IF(AZ5&gt;=Assumptions!$E$74/12,0+1,0)</f>
        <v>0</v>
      </c>
      <c r="BC5" s="31" t="n">
        <f aca="false">IF(OR(0=1,BB5&gt;=3),1,0)</f>
        <v>0</v>
      </c>
      <c r="BD5" s="31" t="n">
        <f aca="false">IF(AZ5&gt;=Assumptions!$E$75/12,0+1,0)</f>
        <v>0</v>
      </c>
      <c r="BE5" s="33" t="n">
        <f aca="false">AP5*12/52</f>
        <v>12.7268853846154</v>
      </c>
      <c r="BF5" s="33" t="n">
        <f aca="false">AR5*12/52</f>
        <v>0</v>
      </c>
      <c r="BG5" s="31" t="n">
        <f aca="false">IF(AX5&gt;0,A5,999)</f>
        <v>1</v>
      </c>
      <c r="BH5" s="31" t="n">
        <f aca="false">IF(BB5&gt;=3,A5,999)</f>
        <v>999</v>
      </c>
      <c r="BI5" s="31" t="n">
        <f aca="false">IF(BD5&gt;=3,A5,999)</f>
        <v>999</v>
      </c>
    </row>
    <row r="6" customFormat="false" ht="15" hidden="false" customHeight="false" outlineLevel="0" collapsed="false">
      <c r="A6" s="31" t="n">
        <v>2</v>
      </c>
      <c r="B6" s="32" t="n">
        <f aca="false">DATE(2026,10+A6,1)</f>
        <v>46357</v>
      </c>
      <c r="C6" s="31" t="n">
        <f aca="false">INT((A6-1)/12)+1</f>
        <v>1</v>
      </c>
      <c r="D6" s="31" t="n">
        <f aca="false">IF(C6=1,Assumptions!$E$7,IF(C6=2,Assumptions!$E$8,Assumptions!$E$9))</f>
        <v>20</v>
      </c>
      <c r="E6" s="31" t="n">
        <f aca="false">D6*Assumptions!$E$10</f>
        <v>440</v>
      </c>
      <c r="F6" s="33" t="n">
        <f aca="false">E6*Assumptions!$E$11</f>
        <v>44</v>
      </c>
      <c r="G6" s="34" t="n">
        <f aca="false">MIN(1,Assumptions!$E$13+(1-Assumptions!$E$13)*(A6-1)/Assumptions!$E$14)</f>
        <v>0.7</v>
      </c>
      <c r="H6" s="33" t="n">
        <f aca="false">F6*Assumptions!$E$12*G6</f>
        <v>4.62</v>
      </c>
      <c r="I6" s="33" t="n">
        <f aca="false">Assumptions!$E$15*(Q5+R5+T5+U5)</f>
        <v>0.04726755</v>
      </c>
      <c r="J6" s="33" t="n">
        <f aca="false">H6+I6</f>
        <v>4.66726755</v>
      </c>
      <c r="K6" s="33" t="n">
        <f aca="false">J6*Assumptions!$E$18</f>
        <v>0.2333633775</v>
      </c>
      <c r="L6" s="33" t="n">
        <f aca="false">(J6-K6)*Assumptions!$E$17</f>
        <v>3.10373292075</v>
      </c>
      <c r="M6" s="33" t="n">
        <f aca="false">J6-K6-L6</f>
        <v>1.33017125175</v>
      </c>
      <c r="N6" s="33" t="n">
        <f aca="false">L6*Assumptions!$E$19</f>
        <v>0.1551866460375</v>
      </c>
      <c r="O6" s="33" t="n">
        <f aca="false">L6-N6</f>
        <v>2.9485462747125</v>
      </c>
      <c r="P6" s="33" t="n">
        <f aca="false">0</f>
        <v>0</v>
      </c>
      <c r="Q6" s="33" t="n">
        <f aca="false">Q5*(1-Assumptions!$E$20)+O6-P6</f>
        <v>5.4377676247125</v>
      </c>
      <c r="R6" s="33" t="n">
        <f aca="false">R5*(1-Assumptions!$E$22)+P6*(1-Assumptions!$E$21)</f>
        <v>0</v>
      </c>
      <c r="S6" s="33" t="n">
        <f aca="false">Q6+R6</f>
        <v>5.4377676247125</v>
      </c>
      <c r="T6" s="33" t="n">
        <f aca="false">T5*(1-Assumptions!$E$24)+M6*Assumptions!$E$23</f>
        <v>0.9699653007</v>
      </c>
      <c r="U6" s="33" t="n">
        <f aca="false">U5*(1-Assumptions!$E$25)+K6</f>
        <v>0.4264133775</v>
      </c>
      <c r="V6" s="33" t="n">
        <f aca="false">V5+M6</f>
        <v>2.45877125175</v>
      </c>
      <c r="W6" s="33" t="n">
        <f aca="false">N6+Q5*Assumptions!$E$20+P6*Assumptions!$E$21+R5*Assumptions!$E$22+T5*Assumptions!$E$24+U5*Assumptions!$E$25</f>
        <v>0.1861884960375</v>
      </c>
      <c r="X6" s="33" t="n">
        <f aca="false">IF(A6&lt;Assumptions!$E$34,0,Assumptions!$E$36*MIN(1,(A6-Assumptions!$E$34+1)/Assumptions!$E$35))*(S6+T6)</f>
        <v>0</v>
      </c>
      <c r="Y6" s="31" t="n">
        <f aca="false">IF(Y5&gt;0,Y5,IF(AND(A6&gt;=Assumptions!$E$41,Q5+R5+T5&gt;=Assumptions!$E$40),A6,0))</f>
        <v>0</v>
      </c>
      <c r="Z6" s="33" t="n">
        <f aca="false">IF(Y6&gt;0,Assumptions!$E$42*MIN(1,(A6-Y6+1)/Assumptions!$E$43),0)*(S6+T6)</f>
        <v>0</v>
      </c>
      <c r="AA6" s="35" t="n">
        <f aca="false">(1+Assumptions!$E$32)^(C6-1)</f>
        <v>1</v>
      </c>
      <c r="AB6" s="36" t="n">
        <f aca="false">O6*Assumptions!$E$27*AA6</f>
        <v>291.906081196537</v>
      </c>
      <c r="AC6" s="36" t="n">
        <f aca="false">(Q5+R5)*Assumptions!$E$28*AA6</f>
        <v>247.67127</v>
      </c>
      <c r="AD6" s="36" t="n">
        <f aca="false">M6*Assumptions!$E$29*AA6</f>
        <v>663.75545462325</v>
      </c>
      <c r="AE6" s="36" t="n">
        <f aca="false">T5*Assumptions!$E$30*AA6</f>
        <v>35.66376</v>
      </c>
      <c r="AF6" s="36" t="n">
        <f aca="false">U5*Assumptions!$E$31*AA6</f>
        <v>79.002</v>
      </c>
      <c r="AG6" s="36" t="n">
        <f aca="false">X6*Assumptions!$E$37*Assumptions!$E$38</f>
        <v>0</v>
      </c>
      <c r="AH6" s="36" t="n">
        <f aca="false">Z6*Assumptions!$E$44*Assumptions!$E$45</f>
        <v>0</v>
      </c>
      <c r="AI6" s="36" t="n">
        <f aca="false">SUM(AB6:AH6)</f>
        <v>1317.99856581979</v>
      </c>
      <c r="AJ6" s="36" t="n">
        <f aca="false">(S6*Assumptions!$E$28+T6*Assumptions!$E$30+U6*Assumptions!$E$31)*AA6+AG6+AH6</f>
        <v>785.105191224337</v>
      </c>
      <c r="AK6" s="36" t="n">
        <f aca="false">(AI6-AH6)*Assumptions!$E$49</f>
        <v>46.1299498036926</v>
      </c>
      <c r="AL6" s="36" t="n">
        <f aca="false">(AC6+AE6+AF6)*Assumptions!$E$50</f>
        <v>2.53635921</v>
      </c>
      <c r="AM6" s="36" t="n">
        <f aca="false">S6*Assumptions!$E$51+M6*Assumptions!$E$52</f>
        <v>26.7497783071406</v>
      </c>
      <c r="AN6" s="36" t="n">
        <f aca="false">Assumptions!$E$53+Assumptions!$E$54*(S6+T6+U6)</f>
        <v>133.668292605825</v>
      </c>
      <c r="AO6" s="36" t="n">
        <f aca="false">IF(C6&gt;=2,Assumptions!$E$55,0)</f>
        <v>0</v>
      </c>
      <c r="AP6" s="33" t="n">
        <f aca="false">E6*Assumptions!$E$60/60+F6*Assumptions!$E$61+J6*Assumptions!$E$62+(S6+T6)*Assumptions!$E$63+X6*Assumptions!$E$64+Z6*Assumptions!$E$65+U6*Assumptions!$E$66+Assumptions!$E$67*52/12</f>
        <v>60.8073678045792</v>
      </c>
      <c r="AQ6" s="33" t="n">
        <f aca="false">IF(BC5=1,Assumptions!$E$69,Assumptions!$E$68)*52/12</f>
        <v>130</v>
      </c>
      <c r="AR6" s="33" t="n">
        <f aca="false">MAX(0,AP6-AQ6)</f>
        <v>0</v>
      </c>
      <c r="AS6" s="36" t="n">
        <f aca="false">AR6*Assumptions!$E$70*Assumptions!$E$71</f>
        <v>0</v>
      </c>
      <c r="AT6" s="36" t="n">
        <f aca="false">Assumptions!$E$56/12</f>
        <v>66.6666666666667</v>
      </c>
      <c r="AU6" s="36" t="n">
        <f aca="false">IF(A6=1,Assumptions!$E$57,0)+Assumptions!$E$58</f>
        <v>40</v>
      </c>
      <c r="AV6" s="36" t="n">
        <f aca="false">IF(AND(Y6&gt;0,Y6=A6),Assumptions!$E$46,0)+IF(Y6&gt;0,Assumptions!$E$47,0)</f>
        <v>0</v>
      </c>
      <c r="AW6" s="36" t="n">
        <f aca="false">AK6+AL6+AM6+AN6+AO6+AS6+AT6+AU6+AV6</f>
        <v>315.751046593325</v>
      </c>
      <c r="AX6" s="36" t="n">
        <f aca="false">AI6-AW6</f>
        <v>1002.24751922646</v>
      </c>
      <c r="AY6" s="36" t="n">
        <f aca="false">MAX(0,AX6)*Assumptions!$E$73</f>
        <v>250.561879806616</v>
      </c>
      <c r="AZ6" s="36" t="n">
        <f aca="false">AX6-AY6</f>
        <v>751.685639419847</v>
      </c>
      <c r="BA6" s="36" t="n">
        <f aca="false">BA5+AZ6</f>
        <v>923.764144957347</v>
      </c>
      <c r="BB6" s="31" t="n">
        <f aca="false">IF(AZ6&gt;=Assumptions!$E$74/12,BB5+1,0)</f>
        <v>0</v>
      </c>
      <c r="BC6" s="31" t="n">
        <f aca="false">IF(OR(BC5=1,BB6&gt;=3),1,0)</f>
        <v>0</v>
      </c>
      <c r="BD6" s="31" t="n">
        <f aca="false">IF(AZ6&gt;=Assumptions!$E$75/12,BD5+1,0)</f>
        <v>0</v>
      </c>
      <c r="BE6" s="33" t="n">
        <f aca="false">AP6*12/52</f>
        <v>14.0324694933644</v>
      </c>
      <c r="BF6" s="33" t="n">
        <f aca="false">AR6*12/52</f>
        <v>0</v>
      </c>
      <c r="BG6" s="31" t="n">
        <f aca="false">IF(AX6&gt;0,A6,999)</f>
        <v>2</v>
      </c>
      <c r="BH6" s="31" t="n">
        <f aca="false">IF(BB6&gt;=3,A6,999)</f>
        <v>999</v>
      </c>
      <c r="BI6" s="31" t="n">
        <f aca="false">IF(BD6&gt;=3,A6,999)</f>
        <v>999</v>
      </c>
    </row>
    <row r="7" customFormat="false" ht="15" hidden="false" customHeight="false" outlineLevel="0" collapsed="false">
      <c r="A7" s="31" t="n">
        <v>3</v>
      </c>
      <c r="B7" s="32" t="n">
        <f aca="false">DATE(2026,10+A7,1)</f>
        <v>46388</v>
      </c>
      <c r="C7" s="31" t="n">
        <f aca="false">INT((A7-1)/12)+1</f>
        <v>1</v>
      </c>
      <c r="D7" s="31" t="n">
        <f aca="false">IF(C7=1,Assumptions!$E$7,IF(C7=2,Assumptions!$E$8,Assumptions!$E$9))</f>
        <v>20</v>
      </c>
      <c r="E7" s="31" t="n">
        <f aca="false">D7*Assumptions!$E$10</f>
        <v>440</v>
      </c>
      <c r="F7" s="33" t="n">
        <f aca="false">E7*Assumptions!$E$11</f>
        <v>44</v>
      </c>
      <c r="G7" s="34" t="n">
        <f aca="false">MIN(1,Assumptions!$E$13+(1-Assumptions!$E$13)*(A7-1)/Assumptions!$E$14)</f>
        <v>0.8</v>
      </c>
      <c r="H7" s="33" t="n">
        <f aca="false">F7*Assumptions!$E$12*G7</f>
        <v>5.28</v>
      </c>
      <c r="I7" s="33" t="n">
        <f aca="false">Assumptions!$E$15*(Q6+R6+T6+U6)</f>
        <v>0.102512194543687</v>
      </c>
      <c r="J7" s="33" t="n">
        <f aca="false">H7+I7</f>
        <v>5.38251219454369</v>
      </c>
      <c r="K7" s="33" t="n">
        <f aca="false">J7*Assumptions!$E$18</f>
        <v>0.269125609727184</v>
      </c>
      <c r="L7" s="33" t="n">
        <f aca="false">(J7-K7)*Assumptions!$E$17</f>
        <v>3.57937060937155</v>
      </c>
      <c r="M7" s="33" t="n">
        <f aca="false">J7-K7-L7</f>
        <v>1.53401597544495</v>
      </c>
      <c r="N7" s="33" t="n">
        <f aca="false">L7*Assumptions!$E$19</f>
        <v>0.178968530468578</v>
      </c>
      <c r="O7" s="33" t="n">
        <f aca="false">L7-N7</f>
        <v>3.40040207890297</v>
      </c>
      <c r="P7" s="33" t="n">
        <f aca="false">0</f>
        <v>0</v>
      </c>
      <c r="Q7" s="33" t="n">
        <f aca="false">Q6*(1-Assumptions!$E$20)+O7-P7</f>
        <v>8.81098086549191</v>
      </c>
      <c r="R7" s="33" t="n">
        <f aca="false">R6*(1-Assumptions!$E$22)+P7*(1-Assumptions!$E$21)</f>
        <v>0</v>
      </c>
      <c r="S7" s="33" t="n">
        <f aca="false">Q7+R7</f>
        <v>8.81098086549191</v>
      </c>
      <c r="T7" s="33" t="n">
        <f aca="false">T6*(1-Assumptions!$E$24)+M7*Assumptions!$E$23</f>
        <v>1.55447273185698</v>
      </c>
      <c r="U7" s="33" t="n">
        <f aca="false">U6*(1-Assumptions!$E$25)+K7</f>
        <v>0.684878652789684</v>
      </c>
      <c r="V7" s="33" t="n">
        <f aca="false">V6+M7</f>
        <v>3.99278722719495</v>
      </c>
      <c r="W7" s="33" t="n">
        <f aca="false">N7+Q6*Assumptions!$E$20+P7*Assumptions!$E$21+R6*Assumptions!$E$22+T6*Assumptions!$E$24+U6*Assumptions!$E$25</f>
        <v>0.24591666205064</v>
      </c>
      <c r="X7" s="33" t="n">
        <f aca="false">IF(A7&lt;Assumptions!$E$34,0,Assumptions!$E$36*MIN(1,(A7-Assumptions!$E$34+1)/Assumptions!$E$35))*(S7+T7)</f>
        <v>0.777409019801167</v>
      </c>
      <c r="Y7" s="31" t="n">
        <f aca="false">IF(Y6&gt;0,Y6,IF(AND(A7&gt;=Assumptions!$E$41,Q6+R6+T6&gt;=Assumptions!$E$40),A7,0))</f>
        <v>0</v>
      </c>
      <c r="Z7" s="33" t="n">
        <f aca="false">IF(Y7&gt;0,Assumptions!$E$42*MIN(1,(A7-Y7+1)/Assumptions!$E$43),0)*(S7+T7)</f>
        <v>0</v>
      </c>
      <c r="AA7" s="35" t="n">
        <f aca="false">(1+Assumptions!$E$32)^(C7-1)</f>
        <v>1</v>
      </c>
      <c r="AB7" s="36" t="n">
        <f aca="false">O7*Assumptions!$E$27*AA7</f>
        <v>336.639805811394</v>
      </c>
      <c r="AC7" s="36" t="n">
        <f aca="false">(Q6+R6)*Assumptions!$E$28*AA7</f>
        <v>538.338994846537</v>
      </c>
      <c r="AD7" s="36" t="n">
        <f aca="false">M7*Assumptions!$E$29*AA7</f>
        <v>765.473971747031</v>
      </c>
      <c r="AE7" s="36" t="n">
        <f aca="false">T6*Assumptions!$E$30*AA7</f>
        <v>76.6272587553</v>
      </c>
      <c r="AF7" s="36" t="n">
        <f aca="false">U6*Assumptions!$E$31*AA7</f>
        <v>170.1389376225</v>
      </c>
      <c r="AG7" s="36" t="n">
        <f aca="false">X7*Assumptions!$E$37*Assumptions!$E$38</f>
        <v>77.7409019801167</v>
      </c>
      <c r="AH7" s="36" t="n">
        <f aca="false">Z7*Assumptions!$E$44*Assumptions!$E$45</f>
        <v>0</v>
      </c>
      <c r="AI7" s="36" t="n">
        <f aca="false">SUM(AB7:AH7)</f>
        <v>1964.95987076288</v>
      </c>
      <c r="AJ7" s="36" t="n">
        <f aca="false">(S7*Assumptions!$E$28+T7*Assumptions!$E$30+U7*Assumptions!$E$31)*AA7+AG7+AH7</f>
        <v>1346.0979359436</v>
      </c>
      <c r="AK7" s="36" t="n">
        <f aca="false">(AI7-AH7)*Assumptions!$E$49</f>
        <v>68.7735954767008</v>
      </c>
      <c r="AL7" s="36" t="n">
        <f aca="false">(AC7+AE7+AF7)*Assumptions!$E$50</f>
        <v>5.49573633857036</v>
      </c>
      <c r="AM7" s="36" t="n">
        <f aca="false">S7*Assumptions!$E$51+M7*Assumptions!$E$52</f>
        <v>34.0239657135392</v>
      </c>
      <c r="AN7" s="36" t="n">
        <f aca="false">Assumptions!$E$53+Assumptions!$E$54*(S7+T7+U7)</f>
        <v>142.100664500277</v>
      </c>
      <c r="AO7" s="36" t="n">
        <f aca="false">IF(C7&gt;=2,Assumptions!$E$55,0)</f>
        <v>0</v>
      </c>
      <c r="AP7" s="33" t="n">
        <f aca="false">E7*Assumptions!$E$60/60+F7*Assumptions!$E$61+J7*Assumptions!$E$62+(S7+T7)*Assumptions!$E$63+X7*Assumptions!$E$64+Z7*Assumptions!$E$65+U7*Assumptions!$E$66+Assumptions!$E$67*52/12</f>
        <v>67.7133385846304</v>
      </c>
      <c r="AQ7" s="33" t="n">
        <f aca="false">IF(BC6=1,Assumptions!$E$69,Assumptions!$E$68)*52/12</f>
        <v>130</v>
      </c>
      <c r="AR7" s="33" t="n">
        <f aca="false">MAX(0,AP7-AQ7)</f>
        <v>0</v>
      </c>
      <c r="AS7" s="36" t="n">
        <f aca="false">AR7*Assumptions!$E$70*Assumptions!$E$71</f>
        <v>0</v>
      </c>
      <c r="AT7" s="36" t="n">
        <f aca="false">Assumptions!$E$56/12</f>
        <v>66.6666666666667</v>
      </c>
      <c r="AU7" s="36" t="n">
        <f aca="false">IF(A7=1,Assumptions!$E$57,0)+Assumptions!$E$58</f>
        <v>40</v>
      </c>
      <c r="AV7" s="36" t="n">
        <f aca="false">IF(AND(Y7&gt;0,Y7=A7),Assumptions!$E$46,0)+IF(Y7&gt;0,Assumptions!$E$47,0)</f>
        <v>0</v>
      </c>
      <c r="AW7" s="36" t="n">
        <f aca="false">AK7+AL7+AM7+AN7+AO7+AS7+AT7+AU7+AV7</f>
        <v>357.060628695754</v>
      </c>
      <c r="AX7" s="36" t="n">
        <f aca="false">AI7-AW7</f>
        <v>1607.89924206713</v>
      </c>
      <c r="AY7" s="36" t="n">
        <f aca="false">MAX(0,AX7)*Assumptions!$E$73</f>
        <v>401.974810516781</v>
      </c>
      <c r="AZ7" s="36" t="n">
        <f aca="false">AX7-AY7</f>
        <v>1205.92443155034</v>
      </c>
      <c r="BA7" s="36" t="n">
        <f aca="false">BA6+AZ7</f>
        <v>2129.68857650769</v>
      </c>
      <c r="BB7" s="31" t="n">
        <f aca="false">IF(AZ7&gt;=Assumptions!$E$74/12,BB6+1,0)</f>
        <v>0</v>
      </c>
      <c r="BC7" s="31" t="n">
        <f aca="false">IF(OR(BC6=1,BB7&gt;=3),1,0)</f>
        <v>0</v>
      </c>
      <c r="BD7" s="31" t="n">
        <f aca="false">IF(AZ7&gt;=Assumptions!$E$75/12,BD6+1,0)</f>
        <v>0</v>
      </c>
      <c r="BE7" s="33" t="n">
        <f aca="false">AP7*12/52</f>
        <v>15.6261550579916</v>
      </c>
      <c r="BF7" s="33" t="n">
        <f aca="false">AR7*12/52</f>
        <v>0</v>
      </c>
      <c r="BG7" s="31" t="n">
        <f aca="false">IF(AX7&gt;0,A7,999)</f>
        <v>3</v>
      </c>
      <c r="BH7" s="31" t="n">
        <f aca="false">IF(BB7&gt;=3,A7,999)</f>
        <v>999</v>
      </c>
      <c r="BI7" s="31" t="n">
        <f aca="false">IF(BD7&gt;=3,A7,999)</f>
        <v>999</v>
      </c>
    </row>
    <row r="8" customFormat="false" ht="15" hidden="false" customHeight="false" outlineLevel="0" collapsed="false">
      <c r="A8" s="31" t="n">
        <v>4</v>
      </c>
      <c r="B8" s="32" t="n">
        <f aca="false">DATE(2026,10+A8,1)</f>
        <v>46419</v>
      </c>
      <c r="C8" s="31" t="n">
        <f aca="false">INT((A8-1)/12)+1</f>
        <v>1</v>
      </c>
      <c r="D8" s="31" t="n">
        <f aca="false">IF(C8=1,Assumptions!$E$7,IF(C8=2,Assumptions!$E$8,Assumptions!$E$9))</f>
        <v>20</v>
      </c>
      <c r="E8" s="31" t="n">
        <f aca="false">D8*Assumptions!$E$10</f>
        <v>440</v>
      </c>
      <c r="F8" s="33" t="n">
        <f aca="false">E8*Assumptions!$E$11</f>
        <v>44</v>
      </c>
      <c r="G8" s="34" t="n">
        <f aca="false">MIN(1,Assumptions!$E$13+(1-Assumptions!$E$13)*(A8-1)/Assumptions!$E$14)</f>
        <v>0.9</v>
      </c>
      <c r="H8" s="33" t="n">
        <f aca="false">F8*Assumptions!$E$12*G8</f>
        <v>5.94</v>
      </c>
      <c r="I8" s="33" t="n">
        <f aca="false">Assumptions!$E$15*(Q7+R7+T7+U7)</f>
        <v>0.165754983752079</v>
      </c>
      <c r="J8" s="33" t="n">
        <f aca="false">H8+I8</f>
        <v>6.10575498375208</v>
      </c>
      <c r="K8" s="33" t="n">
        <f aca="false">J8*Assumptions!$E$18</f>
        <v>0.305287749187604</v>
      </c>
      <c r="L8" s="33" t="n">
        <f aca="false">(J8-K8)*Assumptions!$E$17</f>
        <v>4.06032706419513</v>
      </c>
      <c r="M8" s="33" t="n">
        <f aca="false">J8-K8-L8</f>
        <v>1.74014017036934</v>
      </c>
      <c r="N8" s="33" t="n">
        <f aca="false">L8*Assumptions!$E$19</f>
        <v>0.203016353209757</v>
      </c>
      <c r="O8" s="33" t="n">
        <f aca="false">L8-N8</f>
        <v>3.85731071098538</v>
      </c>
      <c r="P8" s="33" t="n">
        <f aca="false">0</f>
        <v>0</v>
      </c>
      <c r="Q8" s="33" t="n">
        <f aca="false">Q7*(1-Assumptions!$E$20)+O8-P8</f>
        <v>12.6242366721498</v>
      </c>
      <c r="R8" s="33" t="n">
        <f aca="false">R7*(1-Assumptions!$E$22)+P8*(1-Assumptions!$E$21)</f>
        <v>0</v>
      </c>
      <c r="S8" s="33" t="n">
        <f aca="false">Q8+R8</f>
        <v>12.6242366721498</v>
      </c>
      <c r="T8" s="33" t="n">
        <f aca="false">T7*(1-Assumptions!$E$24)+M8*Assumptions!$E$23</f>
        <v>2.20389461804901</v>
      </c>
      <c r="U8" s="33" t="n">
        <f aca="false">U7*(1-Assumptions!$E$25)+K8</f>
        <v>0.973044435657546</v>
      </c>
      <c r="V8" s="33" t="n">
        <f aca="false">V7+M8</f>
        <v>5.73292739756429</v>
      </c>
      <c r="W8" s="33" t="n">
        <f aca="false">N8+Q7*Assumptions!$E$20+P8*Assumptions!$E$21+R7*Assumptions!$E$22+T7*Assumptions!$E$24+U7*Assumptions!$E$25</f>
        <v>0.310827405812668</v>
      </c>
      <c r="X8" s="33" t="n">
        <f aca="false">IF(A8&lt;Assumptions!$E$34,0,Assumptions!$E$36*MIN(1,(A8-Assumptions!$E$34+1)/Assumptions!$E$35))*(S8+T8)</f>
        <v>2.22421969352983</v>
      </c>
      <c r="Y8" s="31" t="n">
        <f aca="false">IF(Y7&gt;0,Y7,IF(AND(A8&gt;=Assumptions!$E$41,Q7+R7+T7&gt;=Assumptions!$E$40),A8,0))</f>
        <v>0</v>
      </c>
      <c r="Z8" s="33" t="n">
        <f aca="false">IF(Y8&gt;0,Assumptions!$E$42*MIN(1,(A8-Y8+1)/Assumptions!$E$43),0)*(S8+T8)</f>
        <v>0</v>
      </c>
      <c r="AA8" s="35" t="n">
        <f aca="false">(1+Assumptions!$E$32)^(C8-1)</f>
        <v>1</v>
      </c>
      <c r="AB8" s="36" t="n">
        <f aca="false">O8*Assumptions!$E$27*AA8</f>
        <v>381.873760387552</v>
      </c>
      <c r="AC8" s="36" t="n">
        <f aca="false">(Q7+R7)*Assumptions!$E$28*AA8</f>
        <v>872.287105683699</v>
      </c>
      <c r="AD8" s="36" t="n">
        <f aca="false">M8*Assumptions!$E$29*AA8</f>
        <v>868.329945014302</v>
      </c>
      <c r="AE8" s="36" t="n">
        <f aca="false">T7*Assumptions!$E$30*AA8</f>
        <v>122.803345816701</v>
      </c>
      <c r="AF8" s="36" t="n">
        <f aca="false">U7*Assumptions!$E$31*AA8</f>
        <v>273.266582463084</v>
      </c>
      <c r="AG8" s="36" t="n">
        <f aca="false">X8*Assumptions!$E$37*Assumptions!$E$38</f>
        <v>222.421969352983</v>
      </c>
      <c r="AH8" s="36" t="n">
        <f aca="false">Z8*Assumptions!$E$44*Assumptions!$E$45</f>
        <v>0</v>
      </c>
      <c r="AI8" s="36" t="n">
        <f aca="false">SUM(AB8:AH8)</f>
        <v>2740.98270871832</v>
      </c>
      <c r="AJ8" s="36" t="n">
        <f aca="false">(S8*Assumptions!$E$28+T8*Assumptions!$E$30+U8*Assumptions!$E$31)*AA8+AG8+AH8</f>
        <v>2034.57380454905</v>
      </c>
      <c r="AK8" s="36" t="n">
        <f aca="false">(AI8-AH8)*Assumptions!$E$49</f>
        <v>95.9343948051413</v>
      </c>
      <c r="AL8" s="36" t="n">
        <f aca="false">(AC8+AE8+AF8)*Assumptions!$E$50</f>
        <v>8.8784992377444</v>
      </c>
      <c r="AM8" s="36" t="n">
        <f aca="false">S8*Assumptions!$E$51+M8*Assumptions!$E$52</f>
        <v>41.8823983957274</v>
      </c>
      <c r="AN8" s="36" t="n">
        <f aca="false">Assumptions!$E$53+Assumptions!$E$54*(S8+T8+U8)</f>
        <v>151.602351451713</v>
      </c>
      <c r="AO8" s="36" t="n">
        <f aca="false">IF(C8&gt;=2,Assumptions!$E$55,0)</f>
        <v>0</v>
      </c>
      <c r="AP8" s="33" t="n">
        <f aca="false">E8*Assumptions!$E$60/60+F8*Assumptions!$E$61+J8*Assumptions!$E$62+(S8+T8)*Assumptions!$E$63+X8*Assumptions!$E$64+Z8*Assumptions!$E$65+U8*Assumptions!$E$66+Assumptions!$E$67*52/12</f>
        <v>75.7868173809287</v>
      </c>
      <c r="AQ8" s="33" t="n">
        <f aca="false">IF(BC7=1,Assumptions!$E$69,Assumptions!$E$68)*52/12</f>
        <v>130</v>
      </c>
      <c r="AR8" s="33" t="n">
        <f aca="false">MAX(0,AP8-AQ8)</f>
        <v>0</v>
      </c>
      <c r="AS8" s="36" t="n">
        <f aca="false">AR8*Assumptions!$E$70*Assumptions!$E$71</f>
        <v>0</v>
      </c>
      <c r="AT8" s="36" t="n">
        <f aca="false">Assumptions!$E$56/12</f>
        <v>66.6666666666667</v>
      </c>
      <c r="AU8" s="36" t="n">
        <f aca="false">IF(A8=1,Assumptions!$E$57,0)+Assumptions!$E$58</f>
        <v>40</v>
      </c>
      <c r="AV8" s="36" t="n">
        <f aca="false">IF(AND(Y8&gt;0,Y8=A8),Assumptions!$E$46,0)+IF(Y8&gt;0,Assumptions!$E$47,0)</f>
        <v>0</v>
      </c>
      <c r="AW8" s="36" t="n">
        <f aca="false">AK8+AL8+AM8+AN8+AO8+AS8+AT8+AU8+AV8</f>
        <v>404.964310556993</v>
      </c>
      <c r="AX8" s="36" t="n">
        <f aca="false">AI8-AW8</f>
        <v>2336.01839816133</v>
      </c>
      <c r="AY8" s="36" t="n">
        <f aca="false">MAX(0,AX8)*Assumptions!$E$73</f>
        <v>584.004599540332</v>
      </c>
      <c r="AZ8" s="36" t="n">
        <f aca="false">AX8-AY8</f>
        <v>1752.013798621</v>
      </c>
      <c r="BA8" s="36" t="n">
        <f aca="false">BA7+AZ8</f>
        <v>3881.70237512869</v>
      </c>
      <c r="BB8" s="31" t="n">
        <f aca="false">IF(AZ8&gt;=Assumptions!$E$74/12,BB7+1,0)</f>
        <v>0</v>
      </c>
      <c r="BC8" s="31" t="n">
        <f aca="false">IF(OR(BC7=1,BB8&gt;=3),1,0)</f>
        <v>0</v>
      </c>
      <c r="BD8" s="31" t="n">
        <f aca="false">IF(AZ8&gt;=Assumptions!$E$75/12,BD7+1,0)</f>
        <v>0</v>
      </c>
      <c r="BE8" s="33" t="n">
        <f aca="false">AP8*12/52</f>
        <v>17.4892655494451</v>
      </c>
      <c r="BF8" s="33" t="n">
        <f aca="false">AR8*12/52</f>
        <v>0</v>
      </c>
      <c r="BG8" s="31" t="n">
        <f aca="false">IF(AX8&gt;0,A8,999)</f>
        <v>4</v>
      </c>
      <c r="BH8" s="31" t="n">
        <f aca="false">IF(BB8&gt;=3,A8,999)</f>
        <v>999</v>
      </c>
      <c r="BI8" s="31" t="n">
        <f aca="false">IF(BD8&gt;=3,A8,999)</f>
        <v>999</v>
      </c>
    </row>
    <row r="9" customFormat="false" ht="15" hidden="false" customHeight="false" outlineLevel="0" collapsed="false">
      <c r="A9" s="31" t="n">
        <v>5</v>
      </c>
      <c r="B9" s="32" t="n">
        <f aca="false">DATE(2026,10+A9,1)</f>
        <v>46447</v>
      </c>
      <c r="C9" s="31" t="n">
        <f aca="false">INT((A9-1)/12)+1</f>
        <v>1</v>
      </c>
      <c r="D9" s="31" t="n">
        <f aca="false">IF(C9=1,Assumptions!$E$7,IF(C9=2,Assumptions!$E$8,Assumptions!$E$9))</f>
        <v>20</v>
      </c>
      <c r="E9" s="31" t="n">
        <f aca="false">D9*Assumptions!$E$10</f>
        <v>440</v>
      </c>
      <c r="F9" s="33" t="n">
        <f aca="false">E9*Assumptions!$E$11</f>
        <v>44</v>
      </c>
      <c r="G9" s="34" t="n">
        <f aca="false">MIN(1,Assumptions!$E$13+(1-Assumptions!$E$13)*(A9-1)/Assumptions!$E$14)</f>
        <v>1</v>
      </c>
      <c r="H9" s="33" t="n">
        <f aca="false">F9*Assumptions!$E$12*G9</f>
        <v>6.6</v>
      </c>
      <c r="I9" s="33" t="n">
        <f aca="false">Assumptions!$E$15*(Q8+R8+T8+U8)</f>
        <v>0.237017635887846</v>
      </c>
      <c r="J9" s="33" t="n">
        <f aca="false">H9+I9</f>
        <v>6.83701763588785</v>
      </c>
      <c r="K9" s="33" t="n">
        <f aca="false">J9*Assumptions!$E$18</f>
        <v>0.341850881794392</v>
      </c>
      <c r="L9" s="33" t="n">
        <f aca="false">(J9-K9)*Assumptions!$E$17</f>
        <v>4.54661672786542</v>
      </c>
      <c r="M9" s="33" t="n">
        <f aca="false">J9-K9-L9</f>
        <v>1.94855002622804</v>
      </c>
      <c r="N9" s="33" t="n">
        <f aca="false">L9*Assumptions!$E$19</f>
        <v>0.227330836393271</v>
      </c>
      <c r="O9" s="33" t="n">
        <f aca="false">L9-N9</f>
        <v>4.31928589147215</v>
      </c>
      <c r="P9" s="33" t="n">
        <f aca="false">0</f>
        <v>0</v>
      </c>
      <c r="Q9" s="33" t="n">
        <f aca="false">Q8*(1-Assumptions!$E$20)+O9-P9</f>
        <v>16.8804013802612</v>
      </c>
      <c r="R9" s="33" t="n">
        <f aca="false">R8*(1-Assumptions!$E$22)+P9*(1-Assumptions!$E$21)</f>
        <v>0</v>
      </c>
      <c r="S9" s="33" t="n">
        <f aca="false">Q9+R9</f>
        <v>16.8804013802612</v>
      </c>
      <c r="T9" s="33" t="n">
        <f aca="false">T8*(1-Assumptions!$E$24)+M9*Assumptions!$E$23</f>
        <v>2.91719778999875</v>
      </c>
      <c r="U9" s="33" t="n">
        <f aca="false">U8*(1-Assumptions!$E$25)+K9</f>
        <v>1.2905692065605</v>
      </c>
      <c r="V9" s="33" t="n">
        <f aca="false">V8+M9</f>
        <v>7.68147742379233</v>
      </c>
      <c r="W9" s="33" t="n">
        <f aca="false">N9+Q8*Assumptions!$E$20+P9*Assumptions!$E$21+R8*Assumptions!$E$22+T8*Assumptions!$E$24+U8*Assumptions!$E$25</f>
        <v>0.380894969186929</v>
      </c>
      <c r="X9" s="33" t="n">
        <f aca="false">IF(A9&lt;Assumptions!$E$34,0,Assumptions!$E$36*MIN(1,(A9-Assumptions!$E$34+1)/Assumptions!$E$35))*(S9+T9)</f>
        <v>4.45445981330849</v>
      </c>
      <c r="Y9" s="31" t="n">
        <f aca="false">IF(Y8&gt;0,Y8,IF(AND(A9&gt;=Assumptions!$E$41,Q8+R8+T8&gt;=Assumptions!$E$40),A9,0))</f>
        <v>0</v>
      </c>
      <c r="Z9" s="33" t="n">
        <f aca="false">IF(Y9&gt;0,Assumptions!$E$42*MIN(1,(A9-Y9+1)/Assumptions!$E$43),0)*(S9+T9)</f>
        <v>0</v>
      </c>
      <c r="AA9" s="35" t="n">
        <f aca="false">(1+Assumptions!$E$32)^(C9-1)</f>
        <v>1</v>
      </c>
      <c r="AB9" s="36" t="n">
        <f aca="false">O9*Assumptions!$E$27*AA9</f>
        <v>427.609303255743</v>
      </c>
      <c r="AC9" s="36" t="n">
        <f aca="false">(Q8+R8)*Assumptions!$E$28*AA9</f>
        <v>1249.79943054283</v>
      </c>
      <c r="AD9" s="36" t="n">
        <f aca="false">M9*Assumptions!$E$29*AA9</f>
        <v>972.32646308779</v>
      </c>
      <c r="AE9" s="36" t="n">
        <f aca="false">T8*Assumptions!$E$30*AA9</f>
        <v>174.107674825872</v>
      </c>
      <c r="AF9" s="36" t="n">
        <f aca="false">U8*Assumptions!$E$31*AA9</f>
        <v>388.244729827361</v>
      </c>
      <c r="AG9" s="36" t="n">
        <f aca="false">X9*Assumptions!$E$37*Assumptions!$E$38</f>
        <v>445.445981330849</v>
      </c>
      <c r="AH9" s="36" t="n">
        <f aca="false">Z9*Assumptions!$E$44*Assumptions!$E$45</f>
        <v>0</v>
      </c>
      <c r="AI9" s="36" t="n">
        <f aca="false">SUM(AB9:AH9)</f>
        <v>3657.53358287045</v>
      </c>
      <c r="AJ9" s="36" t="n">
        <f aca="false">(S9*Assumptions!$E$28+T9*Assumptions!$E$30+U9*Assumptions!$E$31)*AA9+AG9+AH9</f>
        <v>2862.00145680425</v>
      </c>
      <c r="AK9" s="36" t="n">
        <f aca="false">(AI9-AH9)*Assumptions!$E$49</f>
        <v>128.013675400466</v>
      </c>
      <c r="AL9" s="36" t="n">
        <f aca="false">(AC9+AE9+AF9)*Assumptions!$E$50</f>
        <v>12.6850628463725</v>
      </c>
      <c r="AM9" s="36" t="n">
        <f aca="false">S9*Assumptions!$E$51+M9*Assumptions!$E$52</f>
        <v>50.3287521187471</v>
      </c>
      <c r="AN9" s="36" t="n">
        <f aca="false">Assumptions!$E$53+Assumptions!$E$54*(S9+T9+U9)</f>
        <v>162.176336753641</v>
      </c>
      <c r="AO9" s="36" t="n">
        <f aca="false">IF(C9&gt;=2,Assumptions!$E$55,0)</f>
        <v>0</v>
      </c>
      <c r="AP9" s="33" t="n">
        <f aca="false">E9*Assumptions!$E$60/60+F9*Assumptions!$E$61+J9*Assumptions!$E$62+(S9+T9)*Assumptions!$E$63+X9*Assumptions!$E$64+Z9*Assumptions!$E$65+U9*Assumptions!$E$66+Assumptions!$E$67*52/12</f>
        <v>85.1134831835423</v>
      </c>
      <c r="AQ9" s="33" t="n">
        <f aca="false">IF(BC8=1,Assumptions!$E$69,Assumptions!$E$68)*52/12</f>
        <v>130</v>
      </c>
      <c r="AR9" s="33" t="n">
        <f aca="false">MAX(0,AP9-AQ9)</f>
        <v>0</v>
      </c>
      <c r="AS9" s="36" t="n">
        <f aca="false">AR9*Assumptions!$E$70*Assumptions!$E$71</f>
        <v>0</v>
      </c>
      <c r="AT9" s="36" t="n">
        <f aca="false">Assumptions!$E$56/12</f>
        <v>66.6666666666667</v>
      </c>
      <c r="AU9" s="36" t="n">
        <f aca="false">IF(A9=1,Assumptions!$E$57,0)+Assumptions!$E$58</f>
        <v>40</v>
      </c>
      <c r="AV9" s="36" t="n">
        <f aca="false">IF(AND(Y9&gt;0,Y9=A9),Assumptions!$E$46,0)+IF(Y9&gt;0,Assumptions!$E$47,0)</f>
        <v>0</v>
      </c>
      <c r="AW9" s="36" t="n">
        <f aca="false">AK9+AL9+AM9+AN9+AO9+AS9+AT9+AU9+AV9</f>
        <v>459.870493785893</v>
      </c>
      <c r="AX9" s="36" t="n">
        <f aca="false">AI9-AW9</f>
        <v>3197.66308908455</v>
      </c>
      <c r="AY9" s="36" t="n">
        <f aca="false">MAX(0,AX9)*Assumptions!$E$73</f>
        <v>799.415772271139</v>
      </c>
      <c r="AZ9" s="36" t="n">
        <f aca="false">AX9-AY9</f>
        <v>2398.24731681342</v>
      </c>
      <c r="BA9" s="36" t="n">
        <f aca="false">BA8+AZ9</f>
        <v>6279.9496919421</v>
      </c>
      <c r="BB9" s="31" t="n">
        <f aca="false">IF(AZ9&gt;=Assumptions!$E$74/12,BB8+1,0)</f>
        <v>0</v>
      </c>
      <c r="BC9" s="31" t="n">
        <f aca="false">IF(OR(BC8=1,BB9&gt;=3),1,0)</f>
        <v>0</v>
      </c>
      <c r="BD9" s="31" t="n">
        <f aca="false">IF(AZ9&gt;=Assumptions!$E$75/12,BD8+1,0)</f>
        <v>0</v>
      </c>
      <c r="BE9" s="33" t="n">
        <f aca="false">AP9*12/52</f>
        <v>19.6415730423559</v>
      </c>
      <c r="BF9" s="33" t="n">
        <f aca="false">AR9*12/52</f>
        <v>0</v>
      </c>
      <c r="BG9" s="31" t="n">
        <f aca="false">IF(AX9&gt;0,A9,999)</f>
        <v>5</v>
      </c>
      <c r="BH9" s="31" t="n">
        <f aca="false">IF(BB9&gt;=3,A9,999)</f>
        <v>999</v>
      </c>
      <c r="BI9" s="31" t="n">
        <f aca="false">IF(BD9&gt;=3,A9,999)</f>
        <v>999</v>
      </c>
    </row>
    <row r="10" customFormat="false" ht="15" hidden="false" customHeight="false" outlineLevel="0" collapsed="false">
      <c r="A10" s="31" t="n">
        <v>6</v>
      </c>
      <c r="B10" s="32" t="n">
        <f aca="false">DATE(2026,10+A10,1)</f>
        <v>46478</v>
      </c>
      <c r="C10" s="31" t="n">
        <f aca="false">INT((A10-1)/12)+1</f>
        <v>1</v>
      </c>
      <c r="D10" s="31" t="n">
        <f aca="false">IF(C10=1,Assumptions!$E$7,IF(C10=2,Assumptions!$E$8,Assumptions!$E$9))</f>
        <v>20</v>
      </c>
      <c r="E10" s="31" t="n">
        <f aca="false">D10*Assumptions!$E$10</f>
        <v>440</v>
      </c>
      <c r="F10" s="33" t="n">
        <f aca="false">E10*Assumptions!$E$11</f>
        <v>44</v>
      </c>
      <c r="G10" s="34" t="n">
        <f aca="false">MIN(1,Assumptions!$E$13+(1-Assumptions!$E$13)*(A10-1)/Assumptions!$E$14)</f>
        <v>1</v>
      </c>
      <c r="H10" s="33" t="n">
        <f aca="false">F10*Assumptions!$E$12*G10</f>
        <v>6.6</v>
      </c>
      <c r="I10" s="33" t="n">
        <f aca="false">Assumptions!$E$15*(Q9+R9+T9+U9)</f>
        <v>0.316322525652307</v>
      </c>
      <c r="J10" s="33" t="n">
        <f aca="false">H10+I10</f>
        <v>6.91632252565231</v>
      </c>
      <c r="K10" s="33" t="n">
        <f aca="false">J10*Assumptions!$E$18</f>
        <v>0.345816126282615</v>
      </c>
      <c r="L10" s="33" t="n">
        <f aca="false">(J10-K10)*Assumptions!$E$17</f>
        <v>4.59935447955878</v>
      </c>
      <c r="M10" s="33" t="n">
        <f aca="false">J10-K10-L10</f>
        <v>1.97115191981091</v>
      </c>
      <c r="N10" s="33" t="n">
        <f aca="false">L10*Assumptions!$E$19</f>
        <v>0.229967723977939</v>
      </c>
      <c r="O10" s="33" t="n">
        <f aca="false">L10-N10</f>
        <v>4.36938675558084</v>
      </c>
      <c r="P10" s="33" t="n">
        <f aca="false">0</f>
        <v>0</v>
      </c>
      <c r="Q10" s="33" t="n">
        <f aca="false">Q9*(1-Assumptions!$E$20)+O10-P10</f>
        <v>21.1653861289408</v>
      </c>
      <c r="R10" s="33" t="n">
        <f aca="false">R9*(1-Assumptions!$E$22)+P10*(1-Assumptions!$E$21)</f>
        <v>0</v>
      </c>
      <c r="S10" s="33" t="n">
        <f aca="false">Q10+R10</f>
        <v>21.1653861289408</v>
      </c>
      <c r="T10" s="33" t="n">
        <f aca="false">T9*(1-Assumptions!$E$24)+M10*Assumptions!$E$23</f>
        <v>3.61814262422315</v>
      </c>
      <c r="U10" s="33" t="n">
        <f aca="false">U9*(1-Assumptions!$E$25)+K10</f>
        <v>1.6041211026791</v>
      </c>
      <c r="V10" s="33" t="n">
        <f aca="false">V9+M10</f>
        <v>9.65262934360324</v>
      </c>
      <c r="W10" s="33" t="n">
        <f aca="false">N10+Q9*Assumptions!$E$20+P10*Assumptions!$E$21+R9*Assumptions!$E$22+T9*Assumptions!$E$24+U9*Assumptions!$E$25</f>
        <v>0.43414989474322</v>
      </c>
      <c r="X10" s="33" t="n">
        <f aca="false">IF(A10&lt;Assumptions!$E$34,0,Assumptions!$E$36*MIN(1,(A10-Assumptions!$E$34+1)/Assumptions!$E$35))*(S10+T10)</f>
        <v>7.43505862594917</v>
      </c>
      <c r="Y10" s="31" t="n">
        <f aca="false">IF(Y9&gt;0,Y9,IF(AND(A10&gt;=Assumptions!$E$41,Q9+R9+T9&gt;=Assumptions!$E$40),A10,0))</f>
        <v>0</v>
      </c>
      <c r="Z10" s="33" t="n">
        <f aca="false">IF(Y10&gt;0,Assumptions!$E$42*MIN(1,(A10-Y10+1)/Assumptions!$E$43),0)*(S10+T10)</f>
        <v>0</v>
      </c>
      <c r="AA10" s="35" t="n">
        <f aca="false">(1+Assumptions!$E$32)^(C10-1)</f>
        <v>1</v>
      </c>
      <c r="AB10" s="36" t="n">
        <f aca="false">O10*Assumptions!$E$27*AA10</f>
        <v>432.569288802504</v>
      </c>
      <c r="AC10" s="36" t="n">
        <f aca="false">(Q9+R9)*Assumptions!$E$28*AA10</f>
        <v>1671.15973664586</v>
      </c>
      <c r="AD10" s="36" t="n">
        <f aca="false">M10*Assumptions!$E$29*AA10</f>
        <v>983.604807985643</v>
      </c>
      <c r="AE10" s="36" t="n">
        <f aca="false">T9*Assumptions!$E$30*AA10</f>
        <v>230.458625409901</v>
      </c>
      <c r="AF10" s="36" t="n">
        <f aca="false">U9*Assumptions!$E$31*AA10</f>
        <v>514.93711341764</v>
      </c>
      <c r="AG10" s="36" t="n">
        <f aca="false">X10*Assumptions!$E$37*Assumptions!$E$38</f>
        <v>743.505862594917</v>
      </c>
      <c r="AH10" s="36" t="n">
        <f aca="false">Z10*Assumptions!$E$44*Assumptions!$E$45</f>
        <v>0</v>
      </c>
      <c r="AI10" s="36" t="n">
        <f aca="false">SUM(AB10:AH10)</f>
        <v>4576.23543485647</v>
      </c>
      <c r="AJ10" s="36" t="n">
        <f aca="false">(S10*Assumptions!$E$28+T10*Assumptions!$E$30+U10*Assumptions!$E$31)*AA10+AG10+AH10</f>
        <v>3764.75667664264</v>
      </c>
      <c r="AK10" s="36" t="n">
        <f aca="false">(AI10-AH10)*Assumptions!$E$49</f>
        <v>160.168240219976</v>
      </c>
      <c r="AL10" s="36" t="n">
        <f aca="false">(AC10+AE10+AF10)*Assumptions!$E$50</f>
        <v>16.9158883283138</v>
      </c>
      <c r="AM10" s="36" t="n">
        <f aca="false">S10*Assumptions!$E$51+M10*Assumptions!$E$52</f>
        <v>56.0240114583396</v>
      </c>
      <c r="AN10" s="36" t="n">
        <f aca="false">Assumptions!$E$53+Assumptions!$E$54*(S10+T10+U10)</f>
        <v>172.775299711686</v>
      </c>
      <c r="AO10" s="36" t="n">
        <f aca="false">IF(C10&gt;=2,Assumptions!$E$55,0)</f>
        <v>0</v>
      </c>
      <c r="AP10" s="33" t="n">
        <f aca="false">E10*Assumptions!$E$60/60+F10*Assumptions!$E$61+J10*Assumptions!$E$62+(S10+T10)*Assumptions!$E$63+X10*Assumptions!$E$64+Z10*Assumptions!$E$65+U10*Assumptions!$E$66+Assumptions!$E$67*52/12</f>
        <v>94.0215786911664</v>
      </c>
      <c r="AQ10" s="33" t="n">
        <f aca="false">IF(BC9=1,Assumptions!$E$69,Assumptions!$E$68)*52/12</f>
        <v>130</v>
      </c>
      <c r="AR10" s="33" t="n">
        <f aca="false">MAX(0,AP10-AQ10)</f>
        <v>0</v>
      </c>
      <c r="AS10" s="36" t="n">
        <f aca="false">AR10*Assumptions!$E$70*Assumptions!$E$71</f>
        <v>0</v>
      </c>
      <c r="AT10" s="36" t="n">
        <f aca="false">Assumptions!$E$56/12</f>
        <v>66.6666666666667</v>
      </c>
      <c r="AU10" s="36" t="n">
        <f aca="false">IF(A10=1,Assumptions!$E$57,0)+Assumptions!$E$58</f>
        <v>40</v>
      </c>
      <c r="AV10" s="36" t="n">
        <f aca="false">IF(AND(Y10&gt;0,Y10=A10),Assumptions!$E$46,0)+IF(Y10&gt;0,Assumptions!$E$47,0)</f>
        <v>0</v>
      </c>
      <c r="AW10" s="36" t="n">
        <f aca="false">AK10+AL10+AM10+AN10+AO10+AS10+AT10+AU10+AV10</f>
        <v>512.550106384982</v>
      </c>
      <c r="AX10" s="36" t="n">
        <f aca="false">AI10-AW10</f>
        <v>4063.68532847148</v>
      </c>
      <c r="AY10" s="36" t="n">
        <f aca="false">MAX(0,AX10)*Assumptions!$E$73</f>
        <v>1015.92133211787</v>
      </c>
      <c r="AZ10" s="36" t="n">
        <f aca="false">AX10-AY10</f>
        <v>3047.76399635361</v>
      </c>
      <c r="BA10" s="36" t="n">
        <f aca="false">BA9+AZ10</f>
        <v>9327.71368829572</v>
      </c>
      <c r="BB10" s="31" t="n">
        <f aca="false">IF(AZ10&gt;=Assumptions!$E$74/12,BB9+1,0)</f>
        <v>0</v>
      </c>
      <c r="BC10" s="31" t="n">
        <f aca="false">IF(OR(BC9=1,BB10&gt;=3),1,0)</f>
        <v>0</v>
      </c>
      <c r="BD10" s="31" t="n">
        <f aca="false">IF(AZ10&gt;=Assumptions!$E$75/12,BD9+1,0)</f>
        <v>0</v>
      </c>
      <c r="BE10" s="33" t="n">
        <f aca="false">AP10*12/52</f>
        <v>21.6972873902692</v>
      </c>
      <c r="BF10" s="33" t="n">
        <f aca="false">AR10*12/52</f>
        <v>0</v>
      </c>
      <c r="BG10" s="31" t="n">
        <f aca="false">IF(AX10&gt;0,A10,999)</f>
        <v>6</v>
      </c>
      <c r="BH10" s="31" t="n">
        <f aca="false">IF(BB10&gt;=3,A10,999)</f>
        <v>999</v>
      </c>
      <c r="BI10" s="31" t="n">
        <f aca="false">IF(BD10&gt;=3,A10,999)</f>
        <v>999</v>
      </c>
    </row>
    <row r="11" customFormat="false" ht="15" hidden="false" customHeight="false" outlineLevel="0" collapsed="false">
      <c r="A11" s="31" t="n">
        <v>7</v>
      </c>
      <c r="B11" s="32" t="n">
        <f aca="false">DATE(2026,10+A11,1)</f>
        <v>46508</v>
      </c>
      <c r="C11" s="31" t="n">
        <f aca="false">INT((A11-1)/12)+1</f>
        <v>1</v>
      </c>
      <c r="D11" s="31" t="n">
        <f aca="false">IF(C11=1,Assumptions!$E$7,IF(C11=2,Assumptions!$E$8,Assumptions!$E$9))</f>
        <v>20</v>
      </c>
      <c r="E11" s="31" t="n">
        <f aca="false">D11*Assumptions!$E$10</f>
        <v>440</v>
      </c>
      <c r="F11" s="33" t="n">
        <f aca="false">E11*Assumptions!$E$11</f>
        <v>44</v>
      </c>
      <c r="G11" s="34" t="n">
        <f aca="false">MIN(1,Assumptions!$E$13+(1-Assumptions!$E$13)*(A11-1)/Assumptions!$E$14)</f>
        <v>1</v>
      </c>
      <c r="H11" s="33" t="n">
        <f aca="false">F11*Assumptions!$E$12*G11</f>
        <v>6.6</v>
      </c>
      <c r="I11" s="33" t="n">
        <f aca="false">Assumptions!$E$15*(Q10+R10+T10+U10)</f>
        <v>0.395814747837645</v>
      </c>
      <c r="J11" s="33" t="n">
        <f aca="false">H11+I11</f>
        <v>6.99581474783764</v>
      </c>
      <c r="K11" s="33" t="n">
        <f aca="false">J11*Assumptions!$E$18</f>
        <v>0.349790737391882</v>
      </c>
      <c r="L11" s="33" t="n">
        <f aca="false">(J11-K11)*Assumptions!$E$17</f>
        <v>4.65221680731203</v>
      </c>
      <c r="M11" s="33" t="n">
        <f aca="false">J11-K11-L11</f>
        <v>1.99380720313373</v>
      </c>
      <c r="N11" s="33" t="n">
        <f aca="false">L11*Assumptions!$E$19</f>
        <v>0.232610840365602</v>
      </c>
      <c r="O11" s="33" t="n">
        <f aca="false">L11-N11</f>
        <v>4.41960596694643</v>
      </c>
      <c r="P11" s="33" t="n">
        <f aca="false">0</f>
        <v>0</v>
      </c>
      <c r="Q11" s="33" t="n">
        <f aca="false">Q10*(1-Assumptions!$E$20)+O11-P11</f>
        <v>25.4791651652425</v>
      </c>
      <c r="R11" s="33" t="n">
        <f aca="false">R10*(1-Assumptions!$E$22)+P11*(1-Assumptions!$E$21)</f>
        <v>0</v>
      </c>
      <c r="S11" s="33" t="n">
        <f aca="false">Q11+R11</f>
        <v>25.4791651652425</v>
      </c>
      <c r="T11" s="33" t="n">
        <f aca="false">T10*(1-Assumptions!$E$24)+M11*Assumptions!$E$23</f>
        <v>4.30712122674995</v>
      </c>
      <c r="U11" s="33" t="n">
        <f aca="false">U10*(1-Assumptions!$E$25)+K11</f>
        <v>1.91380881250401</v>
      </c>
      <c r="V11" s="33" t="n">
        <f aca="false">V10+M11</f>
        <v>11.646436546737</v>
      </c>
      <c r="W11" s="33" t="n">
        <f aca="false">N11+Q10*Assumptions!$E$20+P11*Assumptions!$E$21+R10*Assumptions!$E$22+T10*Assumptions!$E$24+U10*Assumptions!$E$25</f>
        <v>0.487085077303978</v>
      </c>
      <c r="X11" s="33" t="n">
        <f aca="false">IF(A11&lt;Assumptions!$E$34,0,Assumptions!$E$36*MIN(1,(A11-Assumptions!$E$34+1)/Assumptions!$E$35))*(S11+T11)</f>
        <v>8.93588591759773</v>
      </c>
      <c r="Y11" s="31" t="n">
        <f aca="false">IF(Y10&gt;0,Y10,IF(AND(A11&gt;=Assumptions!$E$41,Q10+R10+T10&gt;=Assumptions!$E$40),A11,0))</f>
        <v>0</v>
      </c>
      <c r="Z11" s="33" t="n">
        <f aca="false">IF(Y11&gt;0,Assumptions!$E$42*MIN(1,(A11-Y11+1)/Assumptions!$E$43),0)*(S11+T11)</f>
        <v>0</v>
      </c>
      <c r="AA11" s="35" t="n">
        <f aca="false">(1+Assumptions!$E$32)^(C11-1)</f>
        <v>1</v>
      </c>
      <c r="AB11" s="36" t="n">
        <f aca="false">O11*Assumptions!$E$27*AA11</f>
        <v>437.540990727697</v>
      </c>
      <c r="AC11" s="36" t="n">
        <f aca="false">(Q10+R10)*Assumptions!$E$28*AA11</f>
        <v>2095.37322676514</v>
      </c>
      <c r="AD11" s="36" t="n">
        <f aca="false">M11*Assumptions!$E$29*AA11</f>
        <v>994.909794363731</v>
      </c>
      <c r="AE11" s="36" t="n">
        <f aca="false">T10*Assumptions!$E$30*AA11</f>
        <v>285.833267313629</v>
      </c>
      <c r="AF11" s="36" t="n">
        <f aca="false">U10*Assumptions!$E$31*AA11</f>
        <v>640.044319968962</v>
      </c>
      <c r="AG11" s="36" t="n">
        <f aca="false">X11*Assumptions!$E$37*Assumptions!$E$38</f>
        <v>893.588591759773</v>
      </c>
      <c r="AH11" s="36" t="n">
        <f aca="false">Z11*Assumptions!$E$44*Assumptions!$E$45</f>
        <v>0</v>
      </c>
      <c r="AI11" s="36" t="n">
        <f aca="false">SUM(AB11:AH11)</f>
        <v>5347.29019089893</v>
      </c>
      <c r="AJ11" s="36" t="n">
        <f aca="false">(S11*Assumptions!$E$28+T11*Assumptions!$E$30+U11*Assumptions!$E$31)*AA11+AG11+AH11</f>
        <v>4519.89823622112</v>
      </c>
      <c r="AK11" s="36" t="n">
        <f aca="false">(AI11-AH11)*Assumptions!$E$49</f>
        <v>187.155156681462</v>
      </c>
      <c r="AL11" s="36" t="n">
        <f aca="false">(AC11+AE11+AF11)*Assumptions!$E$50</f>
        <v>21.1487556983341</v>
      </c>
      <c r="AM11" s="36" t="n">
        <f aca="false">S11*Assumptions!$E$51+M11*Assumptions!$E$52</f>
        <v>61.756064503559</v>
      </c>
      <c r="AN11" s="36" t="n">
        <f aca="false">Assumptions!$E$53+Assumptions!$E$54*(S11+T11+U11)</f>
        <v>183.400190408993</v>
      </c>
      <c r="AO11" s="36" t="n">
        <f aca="false">IF(C11&gt;=2,Assumptions!$E$55,0)</f>
        <v>0</v>
      </c>
      <c r="AP11" s="33" t="n">
        <f aca="false">E11*Assumptions!$E$60/60+F11*Assumptions!$E$61+J11*Assumptions!$E$62+(S11+T11)*Assumptions!$E$63+X11*Assumptions!$E$64+Z11*Assumptions!$E$65+U11*Assumptions!$E$66+Assumptions!$E$67*52/12</f>
        <v>101.817633681134</v>
      </c>
      <c r="AQ11" s="33" t="n">
        <f aca="false">IF(BC10=1,Assumptions!$E$69,Assumptions!$E$68)*52/12</f>
        <v>130</v>
      </c>
      <c r="AR11" s="33" t="n">
        <f aca="false">MAX(0,AP11-AQ11)</f>
        <v>0</v>
      </c>
      <c r="AS11" s="36" t="n">
        <f aca="false">AR11*Assumptions!$E$70*Assumptions!$E$71</f>
        <v>0</v>
      </c>
      <c r="AT11" s="36" t="n">
        <f aca="false">Assumptions!$E$56/12</f>
        <v>66.6666666666667</v>
      </c>
      <c r="AU11" s="36" t="n">
        <f aca="false">IF(A11=1,Assumptions!$E$57,0)+Assumptions!$E$58</f>
        <v>40</v>
      </c>
      <c r="AV11" s="36" t="n">
        <f aca="false">IF(AND(Y11&gt;0,Y11=A11),Assumptions!$E$46,0)+IF(Y11&gt;0,Assumptions!$E$47,0)</f>
        <v>0</v>
      </c>
      <c r="AW11" s="36" t="n">
        <f aca="false">AK11+AL11+AM11+AN11+AO11+AS11+AT11+AU11+AV11</f>
        <v>560.126833959015</v>
      </c>
      <c r="AX11" s="36" t="n">
        <f aca="false">AI11-AW11</f>
        <v>4787.16335693991</v>
      </c>
      <c r="AY11" s="36" t="n">
        <f aca="false">MAX(0,AX11)*Assumptions!$E$73</f>
        <v>1196.79083923498</v>
      </c>
      <c r="AZ11" s="36" t="n">
        <f aca="false">AX11-AY11</f>
        <v>3590.37251770493</v>
      </c>
      <c r="BA11" s="36" t="n">
        <f aca="false">BA10+AZ11</f>
        <v>12918.0862060006</v>
      </c>
      <c r="BB11" s="31" t="n">
        <f aca="false">IF(AZ11&gt;=Assumptions!$E$74/12,BB10+1,0)</f>
        <v>0</v>
      </c>
      <c r="BC11" s="31" t="n">
        <f aca="false">IF(OR(BC10=1,BB11&gt;=3),1,0)</f>
        <v>0</v>
      </c>
      <c r="BD11" s="31" t="n">
        <f aca="false">IF(AZ11&gt;=Assumptions!$E$75/12,BD10+1,0)</f>
        <v>0</v>
      </c>
      <c r="BE11" s="33" t="n">
        <f aca="false">AP11*12/52</f>
        <v>23.4963770033386</v>
      </c>
      <c r="BF11" s="33" t="n">
        <f aca="false">AR11*12/52</f>
        <v>0</v>
      </c>
      <c r="BG11" s="31" t="n">
        <f aca="false">IF(AX11&gt;0,A11,999)</f>
        <v>7</v>
      </c>
      <c r="BH11" s="31" t="n">
        <f aca="false">IF(BB11&gt;=3,A11,999)</f>
        <v>999</v>
      </c>
      <c r="BI11" s="31" t="n">
        <f aca="false">IF(BD11&gt;=3,A11,999)</f>
        <v>999</v>
      </c>
    </row>
    <row r="12" customFormat="false" ht="15" hidden="false" customHeight="false" outlineLevel="0" collapsed="false">
      <c r="A12" s="31" t="n">
        <v>8</v>
      </c>
      <c r="B12" s="32" t="n">
        <f aca="false">DATE(2026,10+A12,1)</f>
        <v>46539</v>
      </c>
      <c r="C12" s="31" t="n">
        <f aca="false">INT((A12-1)/12)+1</f>
        <v>1</v>
      </c>
      <c r="D12" s="31" t="n">
        <f aca="false">IF(C12=1,Assumptions!$E$7,IF(C12=2,Assumptions!$E$8,Assumptions!$E$9))</f>
        <v>20</v>
      </c>
      <c r="E12" s="31" t="n">
        <f aca="false">D12*Assumptions!$E$10</f>
        <v>440</v>
      </c>
      <c r="F12" s="33" t="n">
        <f aca="false">E12*Assumptions!$E$11</f>
        <v>44</v>
      </c>
      <c r="G12" s="34" t="n">
        <f aca="false">MIN(1,Assumptions!$E$13+(1-Assumptions!$E$13)*(A12-1)/Assumptions!$E$14)</f>
        <v>1</v>
      </c>
      <c r="H12" s="33" t="n">
        <f aca="false">F12*Assumptions!$E$12*G12</f>
        <v>6.6</v>
      </c>
      <c r="I12" s="33" t="n">
        <f aca="false">Assumptions!$E$15*(Q11+R11+T11+U11)</f>
        <v>0.475501428067447</v>
      </c>
      <c r="J12" s="33" t="n">
        <f aca="false">H12+I12</f>
        <v>7.07550142806745</v>
      </c>
      <c r="K12" s="33" t="n">
        <f aca="false">J12*Assumptions!$E$18</f>
        <v>0.353775071403372</v>
      </c>
      <c r="L12" s="33" t="n">
        <f aca="false">(J12-K12)*Assumptions!$E$17</f>
        <v>4.70520844966485</v>
      </c>
      <c r="M12" s="33" t="n">
        <f aca="false">J12-K12-L12</f>
        <v>2.01651790699922</v>
      </c>
      <c r="N12" s="33" t="n">
        <f aca="false">L12*Assumptions!$E$19</f>
        <v>0.235260422483243</v>
      </c>
      <c r="O12" s="33" t="n">
        <f aca="false">L12-N12</f>
        <v>4.46994802718161</v>
      </c>
      <c r="P12" s="33" t="n">
        <f aca="false">0</f>
        <v>0</v>
      </c>
      <c r="Q12" s="33" t="n">
        <f aca="false">Q11*(1-Assumptions!$E$20)+O12-P12</f>
        <v>29.8217173665979</v>
      </c>
      <c r="R12" s="33" t="n">
        <f aca="false">R11*(1-Assumptions!$E$22)+P12*(1-Assumptions!$E$21)</f>
        <v>0</v>
      </c>
      <c r="S12" s="33" t="n">
        <f aca="false">Q12+R12</f>
        <v>29.8217173665979</v>
      </c>
      <c r="T12" s="33" t="n">
        <f aca="false">T11*(1-Assumptions!$E$24)+M12*Assumptions!$E$23</f>
        <v>4.98451475274714</v>
      </c>
      <c r="U12" s="33" t="n">
        <f aca="false">U11*(1-Assumptions!$E$25)+K12</f>
        <v>2.21973866359478</v>
      </c>
      <c r="V12" s="33" t="n">
        <f aca="false">V11+M12</f>
        <v>13.6629544537362</v>
      </c>
      <c r="W12" s="33" t="n">
        <f aca="false">N12+Q11*Assumptions!$E$20+P12*Assumptions!$E$21+R11*Assumptions!$E$22+T11*Assumptions!$E$24+U11*Assumptions!$E$25</f>
        <v>0.539715105424554</v>
      </c>
      <c r="X12" s="33" t="n">
        <f aca="false">IF(A12&lt;Assumptions!$E$34,0,Assumptions!$E$36*MIN(1,(A12-Assumptions!$E$34+1)/Assumptions!$E$35))*(S12+T12)</f>
        <v>10.4418696358035</v>
      </c>
      <c r="Y12" s="31" t="n">
        <f aca="false">IF(Y11&gt;0,Y11,IF(AND(A12&gt;=Assumptions!$E$41,Q11+R11+T11&gt;=Assumptions!$E$40),A12,0))</f>
        <v>0</v>
      </c>
      <c r="Z12" s="33" t="n">
        <f aca="false">IF(Y12&gt;0,Assumptions!$E$42*MIN(1,(A12-Y12+1)/Assumptions!$E$43),0)*(S12+T12)</f>
        <v>0</v>
      </c>
      <c r="AA12" s="35" t="n">
        <f aca="false">(1+Assumptions!$E$32)^(C12-1)</f>
        <v>1</v>
      </c>
      <c r="AB12" s="36" t="n">
        <f aca="false">O12*Assumptions!$E$27*AA12</f>
        <v>442.524854690979</v>
      </c>
      <c r="AC12" s="36" t="n">
        <f aca="false">(Q11+R11)*Assumptions!$E$28*AA12</f>
        <v>2522.43735135901</v>
      </c>
      <c r="AD12" s="36" t="n">
        <f aca="false">M12*Assumptions!$E$29*AA12</f>
        <v>1006.24243559261</v>
      </c>
      <c r="AE12" s="36" t="n">
        <f aca="false">T11*Assumptions!$E$30*AA12</f>
        <v>340.262576913246</v>
      </c>
      <c r="AF12" s="36" t="n">
        <f aca="false">U11*Assumptions!$E$31*AA12</f>
        <v>763.609716189099</v>
      </c>
      <c r="AG12" s="36" t="n">
        <f aca="false">X12*Assumptions!$E$37*Assumptions!$E$38</f>
        <v>1044.18696358035</v>
      </c>
      <c r="AH12" s="36" t="n">
        <f aca="false">Z12*Assumptions!$E$44*Assumptions!$E$45</f>
        <v>0</v>
      </c>
      <c r="AI12" s="36" t="n">
        <f aca="false">SUM(AB12:AH12)</f>
        <v>6119.26389832529</v>
      </c>
      <c r="AJ12" s="36" t="n">
        <f aca="false">(S12*Assumptions!$E$28+T12*Assumptions!$E$30+U12*Assumptions!$E$31)*AA12+AG12+AH12</f>
        <v>5275.98937511488</v>
      </c>
      <c r="AK12" s="36" t="n">
        <f aca="false">(AI12-AH12)*Assumptions!$E$49</f>
        <v>214.174236441385</v>
      </c>
      <c r="AL12" s="36" t="n">
        <f aca="false">(AC12+AE12+AF12)*Assumptions!$E$50</f>
        <v>25.3841675112295</v>
      </c>
      <c r="AM12" s="36" t="n">
        <f aca="false">S12*Assumptions!$E$51+M12*Assumptions!$E$52</f>
        <v>67.5249153132357</v>
      </c>
      <c r="AN12" s="36" t="n">
        <f aca="false">Assumptions!$E$53+Assumptions!$E$54*(S12+T12+U12)</f>
        <v>194.05194156588</v>
      </c>
      <c r="AO12" s="36" t="n">
        <f aca="false">IF(C12&gt;=2,Assumptions!$E$55,0)</f>
        <v>0</v>
      </c>
      <c r="AP12" s="33" t="n">
        <f aca="false">E12*Assumptions!$E$60/60+F12*Assumptions!$E$61+J12*Assumptions!$E$62+(S12+T12)*Assumptions!$E$63+X12*Assumptions!$E$64+Z12*Assumptions!$E$65+U12*Assumptions!$E$66+Assumptions!$E$67*52/12</f>
        <v>109.616246472939</v>
      </c>
      <c r="AQ12" s="33" t="n">
        <f aca="false">IF(BC11=1,Assumptions!$E$69,Assumptions!$E$68)*52/12</f>
        <v>130</v>
      </c>
      <c r="AR12" s="33" t="n">
        <f aca="false">MAX(0,AP12-AQ12)</f>
        <v>0</v>
      </c>
      <c r="AS12" s="36" t="n">
        <f aca="false">AR12*Assumptions!$E$70*Assumptions!$E$71</f>
        <v>0</v>
      </c>
      <c r="AT12" s="36" t="n">
        <f aca="false">Assumptions!$E$56/12</f>
        <v>66.6666666666667</v>
      </c>
      <c r="AU12" s="36" t="n">
        <f aca="false">IF(A12=1,Assumptions!$E$57,0)+Assumptions!$E$58</f>
        <v>40</v>
      </c>
      <c r="AV12" s="36" t="n">
        <f aca="false">IF(AND(Y12&gt;0,Y12=A12),Assumptions!$E$46,0)+IF(Y12&gt;0,Assumptions!$E$47,0)</f>
        <v>0</v>
      </c>
      <c r="AW12" s="36" t="n">
        <f aca="false">AK12+AL12+AM12+AN12+AO12+AS12+AT12+AU12+AV12</f>
        <v>607.801927498397</v>
      </c>
      <c r="AX12" s="36" t="n">
        <f aca="false">AI12-AW12</f>
        <v>5511.4619708269</v>
      </c>
      <c r="AY12" s="36" t="n">
        <f aca="false">MAX(0,AX12)*Assumptions!$E$73</f>
        <v>1377.86549270672</v>
      </c>
      <c r="AZ12" s="36" t="n">
        <f aca="false">AX12-AY12</f>
        <v>4133.59647812017</v>
      </c>
      <c r="BA12" s="36" t="n">
        <f aca="false">BA11+AZ12</f>
        <v>17051.6826841208</v>
      </c>
      <c r="BB12" s="31" t="n">
        <f aca="false">IF(AZ12&gt;=Assumptions!$E$74/12,BB11+1,0)</f>
        <v>0</v>
      </c>
      <c r="BC12" s="31" t="n">
        <f aca="false">IF(OR(BC11=1,BB12&gt;=3),1,0)</f>
        <v>0</v>
      </c>
      <c r="BD12" s="31" t="n">
        <f aca="false">IF(AZ12&gt;=Assumptions!$E$75/12,BD11+1,0)</f>
        <v>0</v>
      </c>
      <c r="BE12" s="33" t="n">
        <f aca="false">AP12*12/52</f>
        <v>25.2960568783706</v>
      </c>
      <c r="BF12" s="33" t="n">
        <f aca="false">AR12*12/52</f>
        <v>0</v>
      </c>
      <c r="BG12" s="31" t="n">
        <f aca="false">IF(AX12&gt;0,A12,999)</f>
        <v>8</v>
      </c>
      <c r="BH12" s="31" t="n">
        <f aca="false">IF(BB12&gt;=3,A12,999)</f>
        <v>999</v>
      </c>
      <c r="BI12" s="31" t="n">
        <f aca="false">IF(BD12&gt;=3,A12,999)</f>
        <v>999</v>
      </c>
    </row>
    <row r="13" customFormat="false" ht="15" hidden="false" customHeight="false" outlineLevel="0" collapsed="false">
      <c r="A13" s="31" t="n">
        <v>9</v>
      </c>
      <c r="B13" s="32" t="n">
        <f aca="false">DATE(2026,10+A13,1)</f>
        <v>46569</v>
      </c>
      <c r="C13" s="31" t="n">
        <f aca="false">INT((A13-1)/12)+1</f>
        <v>1</v>
      </c>
      <c r="D13" s="31" t="n">
        <f aca="false">IF(C13=1,Assumptions!$E$7,IF(C13=2,Assumptions!$E$8,Assumptions!$E$9))</f>
        <v>20</v>
      </c>
      <c r="E13" s="31" t="n">
        <f aca="false">D13*Assumptions!$E$10</f>
        <v>440</v>
      </c>
      <c r="F13" s="33" t="n">
        <f aca="false">E13*Assumptions!$E$11</f>
        <v>44</v>
      </c>
      <c r="G13" s="34" t="n">
        <f aca="false">MIN(1,Assumptions!$E$13+(1-Assumptions!$E$13)*(A13-1)/Assumptions!$E$14)</f>
        <v>1</v>
      </c>
      <c r="H13" s="33" t="n">
        <f aca="false">F13*Assumptions!$E$12*G13</f>
        <v>6.6</v>
      </c>
      <c r="I13" s="33" t="n">
        <f aca="false">Assumptions!$E$15*(Q12+R12+T12+U12)</f>
        <v>0.555389561744097</v>
      </c>
      <c r="J13" s="33" t="n">
        <f aca="false">H13+I13</f>
        <v>7.1553895617441</v>
      </c>
      <c r="K13" s="33" t="n">
        <f aca="false">J13*Assumptions!$E$18</f>
        <v>0.357769478087205</v>
      </c>
      <c r="L13" s="33" t="n">
        <f aca="false">(J13-K13)*Assumptions!$E$17</f>
        <v>4.75833405855982</v>
      </c>
      <c r="M13" s="33" t="n">
        <f aca="false">J13-K13-L13</f>
        <v>2.03928602509707</v>
      </c>
      <c r="N13" s="33" t="n">
        <f aca="false">L13*Assumptions!$E$19</f>
        <v>0.237916702927991</v>
      </c>
      <c r="O13" s="33" t="n">
        <f aca="false">L13-N13</f>
        <v>4.52041735563183</v>
      </c>
      <c r="P13" s="33" t="n">
        <f aca="false">0</f>
        <v>0</v>
      </c>
      <c r="Q13" s="33" t="n">
        <f aca="false">Q12*(1-Assumptions!$E$20)+O13-P13</f>
        <v>34.1930261353967</v>
      </c>
      <c r="R13" s="33" t="n">
        <f aca="false">R12*(1-Assumptions!$E$22)+P13*(1-Assumptions!$E$21)</f>
        <v>0</v>
      </c>
      <c r="S13" s="33" t="n">
        <f aca="false">Q13+R13</f>
        <v>34.1930261353967</v>
      </c>
      <c r="T13" s="33" t="n">
        <f aca="false">T12*(1-Assumptions!$E$24)+M13*Assumptions!$E$23</f>
        <v>5.65069372020355</v>
      </c>
      <c r="U13" s="33" t="n">
        <f aca="false">U12*(1-Assumptions!$E$25)+K13</f>
        <v>2.52201467509211</v>
      </c>
      <c r="V13" s="33" t="n">
        <f aca="false">V12+M13</f>
        <v>15.7022404788333</v>
      </c>
      <c r="W13" s="33" t="n">
        <f aca="false">N13+Q12*Assumptions!$E$20+P13*Assumptions!$E$21+R12*Assumptions!$E$22+T12*Assumptions!$E$24+U12*Assumptions!$E$25</f>
        <v>0.592054198933264</v>
      </c>
      <c r="X13" s="33" t="n">
        <f aca="false">IF(A13&lt;Assumptions!$E$34,0,Assumptions!$E$36*MIN(1,(A13-Assumptions!$E$34+1)/Assumptions!$E$35))*(S13+T13)</f>
        <v>11.9531159566801</v>
      </c>
      <c r="Y13" s="31" t="n">
        <f aca="false">IF(Y12&gt;0,Y12,IF(AND(A13&gt;=Assumptions!$E$41,Q12+R12+T12&gt;=Assumptions!$E$40),A13,0))</f>
        <v>9</v>
      </c>
      <c r="Z13" s="33" t="n">
        <f aca="false">IF(Y13&gt;0,Assumptions!$E$42*MIN(1,(A13-Y13+1)/Assumptions!$E$43),0)*(S13+T13)</f>
        <v>2.21353999197779</v>
      </c>
      <c r="AA13" s="35" t="n">
        <f aca="false">(1+Assumptions!$E$32)^(C13-1)</f>
        <v>1</v>
      </c>
      <c r="AB13" s="36" t="n">
        <f aca="false">O13*Assumptions!$E$27*AA13</f>
        <v>447.521318207551</v>
      </c>
      <c r="AC13" s="36" t="n">
        <f aca="false">(Q12+R12)*Assumptions!$E$28*AA13</f>
        <v>2952.35001929319</v>
      </c>
      <c r="AD13" s="36" t="n">
        <f aca="false">M13*Assumptions!$E$29*AA13</f>
        <v>1017.60372652344</v>
      </c>
      <c r="AE13" s="36" t="n">
        <f aca="false">T12*Assumptions!$E$30*AA13</f>
        <v>393.776665467024</v>
      </c>
      <c r="AF13" s="36" t="n">
        <f aca="false">U12*Assumptions!$E$31*AA13</f>
        <v>885.675726774317</v>
      </c>
      <c r="AG13" s="36" t="n">
        <f aca="false">X13*Assumptions!$E$37*Assumptions!$E$38</f>
        <v>1195.31159566801</v>
      </c>
      <c r="AH13" s="36" t="n">
        <f aca="false">Z13*Assumptions!$E$44*Assumptions!$E$45</f>
        <v>77.4738997192228</v>
      </c>
      <c r="AI13" s="36" t="n">
        <f aca="false">SUM(AB13:AH13)</f>
        <v>6969.71295165275</v>
      </c>
      <c r="AJ13" s="36" t="n">
        <f aca="false">(S13*Assumptions!$E$28+T13*Assumptions!$E$30+U13*Assumptions!$E$31)*AA13+AG13+AH13</f>
        <v>6110.58374204934</v>
      </c>
      <c r="AK13" s="36" t="n">
        <f aca="false">(AI13-AH13)*Assumptions!$E$49</f>
        <v>241.228366817674</v>
      </c>
      <c r="AL13" s="36" t="n">
        <f aca="false">(AC13+AE13+AF13)*Assumptions!$E$50</f>
        <v>29.6226168807417</v>
      </c>
      <c r="AM13" s="36" t="n">
        <f aca="false">S13*Assumptions!$E$51+M13*Assumptions!$E$52</f>
        <v>73.3305730457019</v>
      </c>
      <c r="AN13" s="36" t="n">
        <f aca="false">Assumptions!$E$53+Assumptions!$E$54*(S13+T13+U13)</f>
        <v>204.731469061385</v>
      </c>
      <c r="AO13" s="36" t="n">
        <f aca="false">IF(C13&gt;=2,Assumptions!$E$55,0)</f>
        <v>0</v>
      </c>
      <c r="AP13" s="33" t="n">
        <f aca="false">E13*Assumptions!$E$60/60+F13*Assumptions!$E$61+J13*Assumptions!$E$62+(S13+T13)*Assumptions!$E$63+X13*Assumptions!$E$64+Z13*Assumptions!$E$65+U13*Assumptions!$E$66+Assumptions!$E$67*52/12</f>
        <v>117.861089206249</v>
      </c>
      <c r="AQ13" s="33" t="n">
        <f aca="false">IF(BC12=1,Assumptions!$E$69,Assumptions!$E$68)*52/12</f>
        <v>130</v>
      </c>
      <c r="AR13" s="33" t="n">
        <f aca="false">MAX(0,AP13-AQ13)</f>
        <v>0</v>
      </c>
      <c r="AS13" s="36" t="n">
        <f aca="false">AR13*Assumptions!$E$70*Assumptions!$E$71</f>
        <v>0</v>
      </c>
      <c r="AT13" s="36" t="n">
        <f aca="false">Assumptions!$E$56/12</f>
        <v>66.6666666666667</v>
      </c>
      <c r="AU13" s="36" t="n">
        <f aca="false">IF(A13=1,Assumptions!$E$57,0)+Assumptions!$E$58</f>
        <v>40</v>
      </c>
      <c r="AV13" s="36" t="n">
        <f aca="false">IF(AND(Y13&gt;0,Y13=A13),Assumptions!$E$46,0)+IF(Y13&gt;0,Assumptions!$E$47,0)</f>
        <v>2050</v>
      </c>
      <c r="AW13" s="36" t="n">
        <f aca="false">AK13+AL13+AM13+AN13+AO13+AS13+AT13+AU13+AV13</f>
        <v>2705.57969247217</v>
      </c>
      <c r="AX13" s="36" t="n">
        <f aca="false">AI13-AW13</f>
        <v>4264.13325918058</v>
      </c>
      <c r="AY13" s="36" t="n">
        <f aca="false">MAX(0,AX13)*Assumptions!$E$73</f>
        <v>1066.03331479515</v>
      </c>
      <c r="AZ13" s="36" t="n">
        <f aca="false">AX13-AY13</f>
        <v>3198.09994438544</v>
      </c>
      <c r="BA13" s="36" t="n">
        <f aca="false">BA12+AZ13</f>
        <v>20249.7826285063</v>
      </c>
      <c r="BB13" s="31" t="n">
        <f aca="false">IF(AZ13&gt;=Assumptions!$E$74/12,BB12+1,0)</f>
        <v>0</v>
      </c>
      <c r="BC13" s="31" t="n">
        <f aca="false">IF(OR(BC12=1,BB13&gt;=3),1,0)</f>
        <v>0</v>
      </c>
      <c r="BD13" s="31" t="n">
        <f aca="false">IF(AZ13&gt;=Assumptions!$E$75/12,BD12+1,0)</f>
        <v>0</v>
      </c>
      <c r="BE13" s="33" t="n">
        <f aca="false">AP13*12/52</f>
        <v>27.1987128937498</v>
      </c>
      <c r="BF13" s="33" t="n">
        <f aca="false">AR13*12/52</f>
        <v>0</v>
      </c>
      <c r="BG13" s="31" t="n">
        <f aca="false">IF(AX13&gt;0,A13,999)</f>
        <v>9</v>
      </c>
      <c r="BH13" s="31" t="n">
        <f aca="false">IF(BB13&gt;=3,A13,999)</f>
        <v>999</v>
      </c>
      <c r="BI13" s="31" t="n">
        <f aca="false">IF(BD13&gt;=3,A13,999)</f>
        <v>999</v>
      </c>
    </row>
    <row r="14" customFormat="false" ht="15" hidden="false" customHeight="false" outlineLevel="0" collapsed="false">
      <c r="A14" s="31" t="n">
        <v>10</v>
      </c>
      <c r="B14" s="32" t="n">
        <f aca="false">DATE(2026,10+A14,1)</f>
        <v>46600</v>
      </c>
      <c r="C14" s="31" t="n">
        <f aca="false">INT((A14-1)/12)+1</f>
        <v>1</v>
      </c>
      <c r="D14" s="31" t="n">
        <f aca="false">IF(C14=1,Assumptions!$E$7,IF(C14=2,Assumptions!$E$8,Assumptions!$E$9))</f>
        <v>20</v>
      </c>
      <c r="E14" s="31" t="n">
        <f aca="false">D14*Assumptions!$E$10</f>
        <v>440</v>
      </c>
      <c r="F14" s="33" t="n">
        <f aca="false">E14*Assumptions!$E$11</f>
        <v>44</v>
      </c>
      <c r="G14" s="34" t="n">
        <f aca="false">MIN(1,Assumptions!$E$13+(1-Assumptions!$E$13)*(A14-1)/Assumptions!$E$14)</f>
        <v>1</v>
      </c>
      <c r="H14" s="33" t="n">
        <f aca="false">F14*Assumptions!$E$12*G14</f>
        <v>6.6</v>
      </c>
      <c r="I14" s="33" t="n">
        <f aca="false">Assumptions!$E$15*(Q13+R13+T13+U13)</f>
        <v>0.635486017960386</v>
      </c>
      <c r="J14" s="33" t="n">
        <f aca="false">H14+I14</f>
        <v>7.23548601796039</v>
      </c>
      <c r="K14" s="33" t="n">
        <f aca="false">J14*Assumptions!$E$18</f>
        <v>0.361774300898019</v>
      </c>
      <c r="L14" s="33" t="n">
        <f aca="false">(J14-K14)*Assumptions!$E$17</f>
        <v>4.81159820194366</v>
      </c>
      <c r="M14" s="33" t="n">
        <f aca="false">J14-K14-L14</f>
        <v>2.06211351511871</v>
      </c>
      <c r="N14" s="33" t="n">
        <f aca="false">L14*Assumptions!$E$19</f>
        <v>0.240579910097183</v>
      </c>
      <c r="O14" s="33" t="n">
        <f aca="false">L14-N14</f>
        <v>4.57101829184647</v>
      </c>
      <c r="P14" s="33" t="n">
        <f aca="false">0</f>
        <v>0</v>
      </c>
      <c r="Q14" s="33" t="n">
        <f aca="false">Q13*(1-Assumptions!$E$20)+O14-P14</f>
        <v>38.5930792965662</v>
      </c>
      <c r="R14" s="33" t="n">
        <f aca="false">R13*(1-Assumptions!$E$22)+P14*(1-Assumptions!$E$21)</f>
        <v>0</v>
      </c>
      <c r="S14" s="33" t="n">
        <f aca="false">Q14+R14</f>
        <v>38.5930792965662</v>
      </c>
      <c r="T14" s="33" t="n">
        <f aca="false">T13*(1-Assumptions!$E$24)+M14*Assumptions!$E$23</f>
        <v>6.30601831464493</v>
      </c>
      <c r="U14" s="33" t="n">
        <f aca="false">U13*(1-Assumptions!$E$25)+K14</f>
        <v>2.82073860911283</v>
      </c>
      <c r="V14" s="33" t="n">
        <f aca="false">V13+M14</f>
        <v>17.764353993952</v>
      </c>
      <c r="W14" s="33" t="n">
        <f aca="false">N14+Q13*Assumptions!$E$20+P14*Assumptions!$E$21+R13*Assumptions!$E$22+T13*Assumptions!$E$24+U13*Assumptions!$E$25</f>
        <v>0.644116219257576</v>
      </c>
      <c r="X14" s="33" t="n">
        <f aca="false">IF(A14&lt;Assumptions!$E$34,0,Assumptions!$E$36*MIN(1,(A14-Assumptions!$E$34+1)/Assumptions!$E$35))*(S14+T14)</f>
        <v>13.4697292833633</v>
      </c>
      <c r="Y14" s="31" t="n">
        <f aca="false">IF(Y13&gt;0,Y13,IF(AND(A14&gt;=Assumptions!$E$41,Q13+R13+T13&gt;=Assumptions!$E$40),A14,0))</f>
        <v>9</v>
      </c>
      <c r="Z14" s="33" t="n">
        <f aca="false">IF(Y14&gt;0,Assumptions!$E$42*MIN(1,(A14-Y14+1)/Assumptions!$E$43),0)*(S14+T14)</f>
        <v>4.98878862346791</v>
      </c>
      <c r="AA14" s="35" t="n">
        <f aca="false">(1+Assumptions!$E$32)^(C14-1)</f>
        <v>1</v>
      </c>
      <c r="AB14" s="36" t="n">
        <f aca="false">O14*Assumptions!$E$27*AA14</f>
        <v>452.530810892801</v>
      </c>
      <c r="AC14" s="36" t="n">
        <f aca="false">(Q13+R13)*Assumptions!$E$28*AA14</f>
        <v>3385.10958740428</v>
      </c>
      <c r="AD14" s="36" t="n">
        <f aca="false">M14*Assumptions!$E$29*AA14</f>
        <v>1028.99464404424</v>
      </c>
      <c r="AE14" s="36" t="n">
        <f aca="false">T13*Assumptions!$E$30*AA14</f>
        <v>446.404803896081</v>
      </c>
      <c r="AF14" s="36" t="n">
        <f aca="false">U13*Assumptions!$E$31*AA14</f>
        <v>1006.28385536175</v>
      </c>
      <c r="AG14" s="36" t="n">
        <f aca="false">X14*Assumptions!$E$37*Assumptions!$E$38</f>
        <v>1346.97292833633</v>
      </c>
      <c r="AH14" s="36" t="n">
        <f aca="false">Z14*Assumptions!$E$44*Assumptions!$E$45</f>
        <v>174.607601821377</v>
      </c>
      <c r="AI14" s="36" t="n">
        <f aca="false">SUM(AB14:AH14)</f>
        <v>7840.90423175686</v>
      </c>
      <c r="AJ14" s="36" t="n">
        <f aca="false">(S14*Assumptions!$E$28+T14*Assumptions!$E$30+U14*Assumptions!$E$31)*AA14+AG14+AH14</f>
        <v>6965.94553241074</v>
      </c>
      <c r="AK14" s="36" t="n">
        <f aca="false">(AI14-AH14)*Assumptions!$E$49</f>
        <v>268.320382047742</v>
      </c>
      <c r="AL14" s="36" t="n">
        <f aca="false">(AC14+AE14+AF14)*Assumptions!$E$50</f>
        <v>33.8645877266348</v>
      </c>
      <c r="AM14" s="36" t="n">
        <f aca="false">S14*Assumptions!$E$51+M14*Assumptions!$E$52</f>
        <v>79.1730518474884</v>
      </c>
      <c r="AN14" s="36" t="n">
        <f aca="false">Assumptions!$E$53+Assumptions!$E$54*(S14+T14+U14)</f>
        <v>215.439672440648</v>
      </c>
      <c r="AO14" s="36" t="n">
        <f aca="false">IF(C14&gt;=2,Assumptions!$E$55,0)</f>
        <v>0</v>
      </c>
      <c r="AP14" s="33" t="n">
        <f aca="false">E14*Assumptions!$E$60/60+F14*Assumptions!$E$61+J14*Assumptions!$E$62+(S14+T14)*Assumptions!$E$63+X14*Assumptions!$E$64+Z14*Assumptions!$E$65+U14*Assumptions!$E$66+Assumptions!$E$67*52/12</f>
        <v>126.222741037599</v>
      </c>
      <c r="AQ14" s="33" t="n">
        <f aca="false">IF(BC13=1,Assumptions!$E$69,Assumptions!$E$68)*52/12</f>
        <v>130</v>
      </c>
      <c r="AR14" s="33" t="n">
        <f aca="false">MAX(0,AP14-AQ14)</f>
        <v>0</v>
      </c>
      <c r="AS14" s="36" t="n">
        <f aca="false">AR14*Assumptions!$E$70*Assumptions!$E$71</f>
        <v>0</v>
      </c>
      <c r="AT14" s="36" t="n">
        <f aca="false">Assumptions!$E$56/12</f>
        <v>66.6666666666667</v>
      </c>
      <c r="AU14" s="36" t="n">
        <f aca="false">IF(A14=1,Assumptions!$E$57,0)+Assumptions!$E$58</f>
        <v>40</v>
      </c>
      <c r="AV14" s="36" t="n">
        <f aca="false">IF(AND(Y14&gt;0,Y14=A14),Assumptions!$E$46,0)+IF(Y14&gt;0,Assumptions!$E$47,0)</f>
        <v>50</v>
      </c>
      <c r="AW14" s="36" t="n">
        <f aca="false">AK14+AL14+AM14+AN14+AO14+AS14+AT14+AU14+AV14</f>
        <v>753.46436072918</v>
      </c>
      <c r="AX14" s="36" t="n">
        <f aca="false">AI14-AW14</f>
        <v>7087.43987102768</v>
      </c>
      <c r="AY14" s="36" t="n">
        <f aca="false">MAX(0,AX14)*Assumptions!$E$73</f>
        <v>1771.85996775692</v>
      </c>
      <c r="AZ14" s="36" t="n">
        <f aca="false">AX14-AY14</f>
        <v>5315.57990327076</v>
      </c>
      <c r="BA14" s="36" t="n">
        <f aca="false">BA13+AZ14</f>
        <v>25565.362531777</v>
      </c>
      <c r="BB14" s="31" t="n">
        <f aca="false">IF(AZ14&gt;=Assumptions!$E$74/12,BB13+1,0)</f>
        <v>0</v>
      </c>
      <c r="BC14" s="31" t="n">
        <f aca="false">IF(OR(BC13=1,BB14&gt;=3),1,0)</f>
        <v>0</v>
      </c>
      <c r="BD14" s="31" t="n">
        <f aca="false">IF(AZ14&gt;=Assumptions!$E$75/12,BD13+1,0)</f>
        <v>0</v>
      </c>
      <c r="BE14" s="33" t="n">
        <f aca="false">AP14*12/52</f>
        <v>29.1283248548305</v>
      </c>
      <c r="BF14" s="33" t="n">
        <f aca="false">AR14*12/52</f>
        <v>0</v>
      </c>
      <c r="BG14" s="31" t="n">
        <f aca="false">IF(AX14&gt;0,A14,999)</f>
        <v>10</v>
      </c>
      <c r="BH14" s="31" t="n">
        <f aca="false">IF(BB14&gt;=3,A14,999)</f>
        <v>999</v>
      </c>
      <c r="BI14" s="31" t="n">
        <f aca="false">IF(BD14&gt;=3,A14,999)</f>
        <v>999</v>
      </c>
    </row>
    <row r="15" customFormat="false" ht="15" hidden="false" customHeight="false" outlineLevel="0" collapsed="false">
      <c r="A15" s="31" t="n">
        <v>11</v>
      </c>
      <c r="B15" s="32" t="n">
        <f aca="false">DATE(2026,10+A15,1)</f>
        <v>46631</v>
      </c>
      <c r="C15" s="31" t="n">
        <f aca="false">INT((A15-1)/12)+1</f>
        <v>1</v>
      </c>
      <c r="D15" s="31" t="n">
        <f aca="false">IF(C15=1,Assumptions!$E$7,IF(C15=2,Assumptions!$E$8,Assumptions!$E$9))</f>
        <v>20</v>
      </c>
      <c r="E15" s="31" t="n">
        <f aca="false">D15*Assumptions!$E$10</f>
        <v>440</v>
      </c>
      <c r="F15" s="33" t="n">
        <f aca="false">E15*Assumptions!$E$11</f>
        <v>44</v>
      </c>
      <c r="G15" s="34" t="n">
        <f aca="false">MIN(1,Assumptions!$E$13+(1-Assumptions!$E$13)*(A15-1)/Assumptions!$E$14)</f>
        <v>1</v>
      </c>
      <c r="H15" s="33" t="n">
        <f aca="false">F15*Assumptions!$E$12*G15</f>
        <v>6.6</v>
      </c>
      <c r="I15" s="33" t="n">
        <f aca="false">Assumptions!$E$15*(Q14+R14+T14+U14)</f>
        <v>0.71579754330486</v>
      </c>
      <c r="J15" s="33" t="n">
        <f aca="false">H15+I15</f>
        <v>7.31579754330486</v>
      </c>
      <c r="K15" s="33" t="n">
        <f aca="false">J15*Assumptions!$E$18</f>
        <v>0.365789877165243</v>
      </c>
      <c r="L15" s="33" t="n">
        <f aca="false">(J15-K15)*Assumptions!$E$17</f>
        <v>4.86500536629773</v>
      </c>
      <c r="M15" s="33" t="n">
        <f aca="false">J15-K15-L15</f>
        <v>2.08500229984189</v>
      </c>
      <c r="N15" s="33" t="n">
        <f aca="false">L15*Assumptions!$E$19</f>
        <v>0.243250268314887</v>
      </c>
      <c r="O15" s="33" t="n">
        <f aca="false">L15-N15</f>
        <v>4.62175509798285</v>
      </c>
      <c r="P15" s="33" t="n">
        <f aca="false">0</f>
        <v>0</v>
      </c>
      <c r="Q15" s="33" t="n">
        <f aca="false">Q14*(1-Assumptions!$E$20)+O15-P15</f>
        <v>43.0218689980662</v>
      </c>
      <c r="R15" s="33" t="n">
        <f aca="false">R14*(1-Assumptions!$E$22)+P15*(1-Assumptions!$E$21)</f>
        <v>0</v>
      </c>
      <c r="S15" s="33" t="n">
        <f aca="false">Q15+R15</f>
        <v>43.0218689980662</v>
      </c>
      <c r="T15" s="33" t="n">
        <f aca="false">T14*(1-Assumptions!$E$24)+M15*Assumptions!$E$23</f>
        <v>6.95083868514234</v>
      </c>
      <c r="U15" s="33" t="n">
        <f aca="false">U14*(1-Assumptions!$E$25)+K15</f>
        <v>3.11601002105025</v>
      </c>
      <c r="V15" s="33" t="n">
        <f aca="false">V14+M15</f>
        <v>19.8493562937939</v>
      </c>
      <c r="W15" s="33" t="n">
        <f aca="false">N15+Q14*Assumptions!$E$20+P15*Assumptions!$E$21+R14*Assumptions!$E$22+T14*Assumptions!$E$24+U14*Assumptions!$E$25</f>
        <v>0.695914679464886</v>
      </c>
      <c r="X15" s="33" t="n">
        <f aca="false">IF(A15&lt;Assumptions!$E$34,0,Assumptions!$E$36*MIN(1,(A15-Assumptions!$E$34+1)/Assumptions!$E$35))*(S15+T15)</f>
        <v>14.9918123049626</v>
      </c>
      <c r="Y15" s="31" t="n">
        <f aca="false">IF(Y14&gt;0,Y14,IF(AND(A15&gt;=Assumptions!$E$41,Q14+R14+T14&gt;=Assumptions!$E$40),A15,0))</f>
        <v>9</v>
      </c>
      <c r="Z15" s="33" t="n">
        <f aca="false">IF(Y15&gt;0,Assumptions!$E$42*MIN(1,(A15-Y15+1)/Assumptions!$E$43),0)*(S15+T15)</f>
        <v>8.32878461386809</v>
      </c>
      <c r="AA15" s="35" t="n">
        <f aca="false">(1+Assumptions!$E$32)^(C15-1)</f>
        <v>1</v>
      </c>
      <c r="AB15" s="36" t="n">
        <f aca="false">O15*Assumptions!$E$27*AA15</f>
        <v>457.553754700302</v>
      </c>
      <c r="AC15" s="36" t="n">
        <f aca="false">(Q14+R14)*Assumptions!$E$28*AA15</f>
        <v>3820.71485036006</v>
      </c>
      <c r="AD15" s="36" t="n">
        <f aca="false">M15*Assumptions!$E$29*AA15</f>
        <v>1040.4161476211</v>
      </c>
      <c r="AE15" s="36" t="n">
        <f aca="false">T14*Assumptions!$E$30*AA15</f>
        <v>498.17544685695</v>
      </c>
      <c r="AF15" s="36" t="n">
        <f aca="false">U14*Assumptions!$E$31*AA15</f>
        <v>1125.47470503602</v>
      </c>
      <c r="AG15" s="36" t="n">
        <f aca="false">X15*Assumptions!$E$37*Assumptions!$E$38</f>
        <v>1499.18123049626</v>
      </c>
      <c r="AH15" s="36" t="n">
        <f aca="false">Z15*Assumptions!$E$44*Assumptions!$E$45</f>
        <v>291.507461485383</v>
      </c>
      <c r="AI15" s="36" t="n">
        <f aca="false">SUM(AB15:AH15)</f>
        <v>8733.02359655607</v>
      </c>
      <c r="AJ15" s="36" t="n">
        <f aca="false">(S15*Assumptions!$E$28+T15*Assumptions!$E$30+U15*Assumptions!$E$31)*AA15+AG15+AH15</f>
        <v>7842.25797731549</v>
      </c>
      <c r="AK15" s="36" t="n">
        <f aca="false">(AI15-AH15)*Assumptions!$E$49</f>
        <v>295.453064727474</v>
      </c>
      <c r="AL15" s="36" t="n">
        <f aca="false">(AC15+AE15+AF15)*Assumptions!$E$50</f>
        <v>38.1105550157712</v>
      </c>
      <c r="AM15" s="36" t="n">
        <f aca="false">S15*Assumptions!$E$51+M15*Assumptions!$E$52</f>
        <v>85.0523707452111</v>
      </c>
      <c r="AN15" s="36" t="n">
        <f aca="false">Assumptions!$E$53+Assumptions!$E$54*(S15+T15+U15)</f>
        <v>226.177435408518</v>
      </c>
      <c r="AO15" s="36" t="n">
        <f aca="false">IF(C15&gt;=2,Assumptions!$E$55,0)</f>
        <v>0</v>
      </c>
      <c r="AP15" s="33" t="n">
        <f aca="false">E15*Assumptions!$E$60/60+F15*Assumptions!$E$61+J15*Assumptions!$E$62+(S15+T15)*Assumptions!$E$63+X15*Assumptions!$E$64+Z15*Assumptions!$E$65+U15*Assumptions!$E$66+Assumptions!$E$67*52/12</f>
        <v>134.702736921579</v>
      </c>
      <c r="AQ15" s="33" t="n">
        <f aca="false">IF(BC14=1,Assumptions!$E$69,Assumptions!$E$68)*52/12</f>
        <v>130</v>
      </c>
      <c r="AR15" s="33" t="n">
        <f aca="false">MAX(0,AP15-AQ15)</f>
        <v>4.70273692157934</v>
      </c>
      <c r="AS15" s="36" t="n">
        <f aca="false">AR15*Assumptions!$E$70*Assumptions!$E$71</f>
        <v>45.1462744471617</v>
      </c>
      <c r="AT15" s="36" t="n">
        <f aca="false">Assumptions!$E$56/12</f>
        <v>66.6666666666667</v>
      </c>
      <c r="AU15" s="36" t="n">
        <f aca="false">IF(A15=1,Assumptions!$E$57,0)+Assumptions!$E$58</f>
        <v>40</v>
      </c>
      <c r="AV15" s="36" t="n">
        <f aca="false">IF(AND(Y15&gt;0,Y15=A15),Assumptions!$E$46,0)+IF(Y15&gt;0,Assumptions!$E$47,0)</f>
        <v>50</v>
      </c>
      <c r="AW15" s="36" t="n">
        <f aca="false">AK15+AL15+AM15+AN15+AO15+AS15+AT15+AU15+AV15</f>
        <v>846.606367010802</v>
      </c>
      <c r="AX15" s="36" t="n">
        <f aca="false">AI15-AW15</f>
        <v>7886.41722954527</v>
      </c>
      <c r="AY15" s="36" t="n">
        <f aca="false">MAX(0,AX15)*Assumptions!$E$73</f>
        <v>1971.60430738632</v>
      </c>
      <c r="AZ15" s="36" t="n">
        <f aca="false">AX15-AY15</f>
        <v>5914.81292215895</v>
      </c>
      <c r="BA15" s="36" t="n">
        <f aca="false">BA14+AZ15</f>
        <v>31480.175453936</v>
      </c>
      <c r="BB15" s="31" t="n">
        <f aca="false">IF(AZ15&gt;=Assumptions!$E$74/12,BB14+1,0)</f>
        <v>0</v>
      </c>
      <c r="BC15" s="31" t="n">
        <f aca="false">IF(OR(BC14=1,BB15&gt;=3),1,0)</f>
        <v>0</v>
      </c>
      <c r="BD15" s="31" t="n">
        <f aca="false">IF(AZ15&gt;=Assumptions!$E$75/12,BD14+1,0)</f>
        <v>0</v>
      </c>
      <c r="BE15" s="33" t="n">
        <f aca="false">AP15*12/52</f>
        <v>31.0852469819029</v>
      </c>
      <c r="BF15" s="33" t="n">
        <f aca="false">AR15*12/52</f>
        <v>1.08524698190293</v>
      </c>
      <c r="BG15" s="31" t="n">
        <f aca="false">IF(AX15&gt;0,A15,999)</f>
        <v>11</v>
      </c>
      <c r="BH15" s="31" t="n">
        <f aca="false">IF(BB15&gt;=3,A15,999)</f>
        <v>999</v>
      </c>
      <c r="BI15" s="31" t="n">
        <f aca="false">IF(BD15&gt;=3,A15,999)</f>
        <v>999</v>
      </c>
    </row>
    <row r="16" customFormat="false" ht="15" hidden="false" customHeight="false" outlineLevel="0" collapsed="false">
      <c r="A16" s="37" t="n">
        <v>12</v>
      </c>
      <c r="B16" s="38" t="n">
        <f aca="false">DATE(2026,10+A16,1)</f>
        <v>46661</v>
      </c>
      <c r="C16" s="37" t="n">
        <f aca="false">INT((A16-1)/12)+1</f>
        <v>1</v>
      </c>
      <c r="D16" s="37" t="n">
        <f aca="false">IF(C16=1,Assumptions!$E$7,IF(C16=2,Assumptions!$E$8,Assumptions!$E$9))</f>
        <v>20</v>
      </c>
      <c r="E16" s="37" t="n">
        <f aca="false">D16*Assumptions!$E$10</f>
        <v>440</v>
      </c>
      <c r="F16" s="39" t="n">
        <f aca="false">E16*Assumptions!$E$11</f>
        <v>44</v>
      </c>
      <c r="G16" s="40" t="n">
        <f aca="false">MIN(1,Assumptions!$E$13+(1-Assumptions!$E$13)*(A16-1)/Assumptions!$E$14)</f>
        <v>1</v>
      </c>
      <c r="H16" s="39" t="n">
        <f aca="false">F16*Assumptions!$E$12*G16</f>
        <v>6.6</v>
      </c>
      <c r="I16" s="39" t="n">
        <f aca="false">Assumptions!$E$15*(Q15+R15+T15+U15)</f>
        <v>0.796330765563882</v>
      </c>
      <c r="J16" s="39" t="n">
        <f aca="false">H16+I16</f>
        <v>7.39633076556388</v>
      </c>
      <c r="K16" s="39" t="n">
        <f aca="false">J16*Assumptions!$E$18</f>
        <v>0.369816538278194</v>
      </c>
      <c r="L16" s="39" t="n">
        <f aca="false">(J16-K16)*Assumptions!$E$17</f>
        <v>4.91855995909998</v>
      </c>
      <c r="M16" s="39" t="n">
        <f aca="false">J16-K16-L16</f>
        <v>2.10795426818571</v>
      </c>
      <c r="N16" s="39" t="n">
        <f aca="false">L16*Assumptions!$E$19</f>
        <v>0.245927997954999</v>
      </c>
      <c r="O16" s="39" t="n">
        <f aca="false">L16-N16</f>
        <v>4.67263196114498</v>
      </c>
      <c r="P16" s="39" t="n">
        <f aca="false">0</f>
        <v>0</v>
      </c>
      <c r="Q16" s="39" t="n">
        <f aca="false">Q15*(1-Assumptions!$E$20)+O16-P16</f>
        <v>47.4793916142209</v>
      </c>
      <c r="R16" s="39" t="n">
        <f aca="false">R15*(1-Assumptions!$E$22)+P16*(1-Assumptions!$E$21)</f>
        <v>0</v>
      </c>
      <c r="S16" s="39" t="n">
        <f aca="false">Q16+R16</f>
        <v>47.4793916142209</v>
      </c>
      <c r="T16" s="39" t="n">
        <f aca="false">T15*(1-Assumptions!$E$24)+M16*Assumptions!$E$23</f>
        <v>7.58549523186235</v>
      </c>
      <c r="U16" s="39" t="n">
        <f aca="false">U15*(1-Assumptions!$E$25)+K16</f>
        <v>3.40792630880219</v>
      </c>
      <c r="V16" s="39" t="n">
        <f aca="false">V15+M16</f>
        <v>21.9573105619796</v>
      </c>
      <c r="W16" s="39" t="n">
        <f aca="false">N16+Q15*Assumptions!$E$20+P16*Assumptions!$E$21+R15*Assumptions!$E$22+T15*Assumptions!$E$24+U15*Assumptions!$E$25</f>
        <v>0.747462754025857</v>
      </c>
      <c r="X16" s="39" t="n">
        <f aca="false">IF(A16&lt;Assumptions!$E$34,0,Assumptions!$E$36*MIN(1,(A16-Assumptions!$E$34+1)/Assumptions!$E$35))*(S16+T16)</f>
        <v>16.519466053825</v>
      </c>
      <c r="Y16" s="37" t="n">
        <f aca="false">IF(Y15&gt;0,Y15,IF(AND(A16&gt;=Assumptions!$E$41,Q15+R15+T15&gt;=Assumptions!$E$40),A16,0))</f>
        <v>9</v>
      </c>
      <c r="Z16" s="39" t="n">
        <f aca="false">IF(Y16&gt;0,Assumptions!$E$42*MIN(1,(A16-Y16+1)/Assumptions!$E$43),0)*(S16+T16)</f>
        <v>12.2366415213518</v>
      </c>
      <c r="AA16" s="41" t="n">
        <f aca="false">(1+Assumptions!$E$32)^(C16-1)</f>
        <v>1</v>
      </c>
      <c r="AB16" s="42" t="n">
        <f aca="false">O16*Assumptions!$E$27*AA16</f>
        <v>462.590564153353</v>
      </c>
      <c r="AC16" s="42" t="n">
        <f aca="false">(Q15+R15)*Assumptions!$E$28*AA16</f>
        <v>4259.16503080856</v>
      </c>
      <c r="AD16" s="42" t="n">
        <f aca="false">M16*Assumptions!$E$29*AA16</f>
        <v>1051.86917982467</v>
      </c>
      <c r="AE16" s="42" t="n">
        <f aca="false">T15*Assumptions!$E$30*AA16</f>
        <v>549.116256126245</v>
      </c>
      <c r="AF16" s="42" t="n">
        <f aca="false">U15*Assumptions!$E$31*AA16</f>
        <v>1243.28799839905</v>
      </c>
      <c r="AG16" s="42" t="n">
        <f aca="false">X16*Assumptions!$E$37*Assumptions!$E$38</f>
        <v>1651.9466053825</v>
      </c>
      <c r="AH16" s="42" t="n">
        <f aca="false">Z16*Assumptions!$E$44*Assumptions!$E$45</f>
        <v>428.282453247314</v>
      </c>
      <c r="AI16" s="42" t="n">
        <f aca="false">SUM(AB16:AH16)</f>
        <v>9646.25808794168</v>
      </c>
      <c r="AJ16" s="42" t="n">
        <f aca="false">(S16*Assumptions!$E$28+T16*Assumptions!$E$30+U16*Assumptions!$E$31)*AA16+AG16+AH16</f>
        <v>8739.70554896688</v>
      </c>
      <c r="AK16" s="42" t="n">
        <f aca="false">(AI16-AH16)*Assumptions!$E$49</f>
        <v>322.629147214303</v>
      </c>
      <c r="AL16" s="42" t="n">
        <f aca="false">(AC16+AE16+AF16)*Assumptions!$E$50</f>
        <v>42.360984997337</v>
      </c>
      <c r="AM16" s="42" t="n">
        <f aca="false">S16*Assumptions!$E$51+M16*Assumptions!$E$52</f>
        <v>90.9685535405617</v>
      </c>
      <c r="AN16" s="42" t="n">
        <f aca="false">Assumptions!$E$53+Assumptions!$E$54*(S16+T16+U16)</f>
        <v>236.945626309771</v>
      </c>
      <c r="AO16" s="42" t="n">
        <f aca="false">IF(C16&gt;=2,Assumptions!$E$55,0)</f>
        <v>0</v>
      </c>
      <c r="AP16" s="39" t="n">
        <f aca="false">E16*Assumptions!$E$60/60+F16*Assumptions!$E$61+J16*Assumptions!$E$62+(S16+T16)*Assumptions!$E$63+X16*Assumptions!$E$64+Z16*Assumptions!$E$65+U16*Assumptions!$E$66+Assumptions!$E$67*52/12</f>
        <v>143.302609049746</v>
      </c>
      <c r="AQ16" s="39" t="n">
        <f aca="false">IF(BC15=1,Assumptions!$E$69,Assumptions!$E$68)*52/12</f>
        <v>130</v>
      </c>
      <c r="AR16" s="39" t="n">
        <f aca="false">MAX(0,AP16-AQ16)</f>
        <v>13.3026090497458</v>
      </c>
      <c r="AS16" s="42" t="n">
        <f aca="false">AR16*Assumptions!$E$70*Assumptions!$E$71</f>
        <v>127.705046877559</v>
      </c>
      <c r="AT16" s="42" t="n">
        <f aca="false">Assumptions!$E$56/12</f>
        <v>66.6666666666667</v>
      </c>
      <c r="AU16" s="42" t="n">
        <f aca="false">IF(A16=1,Assumptions!$E$57,0)+Assumptions!$E$58</f>
        <v>40</v>
      </c>
      <c r="AV16" s="42" t="n">
        <f aca="false">IF(AND(Y16&gt;0,Y16=A16),Assumptions!$E$46,0)+IF(Y16&gt;0,Assumptions!$E$47,0)</f>
        <v>50</v>
      </c>
      <c r="AW16" s="42" t="n">
        <f aca="false">AK16+AL16+AM16+AN16+AO16+AS16+AT16+AU16+AV16</f>
        <v>977.276025606199</v>
      </c>
      <c r="AX16" s="42" t="n">
        <f aca="false">AI16-AW16</f>
        <v>8668.98206233548</v>
      </c>
      <c r="AY16" s="42" t="n">
        <f aca="false">MAX(0,AX16)*Assumptions!$E$73</f>
        <v>2167.24551558387</v>
      </c>
      <c r="AZ16" s="42" t="n">
        <f aca="false">AX16-AY16</f>
        <v>6501.73654675161</v>
      </c>
      <c r="BA16" s="42" t="n">
        <f aca="false">BA15+AZ16</f>
        <v>37981.9120006876</v>
      </c>
      <c r="BB16" s="37" t="n">
        <f aca="false">IF(AZ16&gt;=Assumptions!$E$74/12,BB15+1,0)</f>
        <v>0</v>
      </c>
      <c r="BC16" s="37" t="n">
        <f aca="false">IF(OR(BC15=1,BB16&gt;=3),1,0)</f>
        <v>0</v>
      </c>
      <c r="BD16" s="37" t="n">
        <f aca="false">IF(AZ16&gt;=Assumptions!$E$75/12,BD15+1,0)</f>
        <v>0</v>
      </c>
      <c r="BE16" s="39" t="n">
        <f aca="false">AP16*12/52</f>
        <v>33.0698328576336</v>
      </c>
      <c r="BF16" s="39" t="n">
        <f aca="false">AR16*12/52</f>
        <v>3.06983285763364</v>
      </c>
      <c r="BG16" s="37" t="n">
        <f aca="false">IF(AX16&gt;0,A16,999)</f>
        <v>12</v>
      </c>
      <c r="BH16" s="37" t="n">
        <f aca="false">IF(BB16&gt;=3,A16,999)</f>
        <v>999</v>
      </c>
      <c r="BI16" s="37" t="n">
        <f aca="false">IF(BD16&gt;=3,A16,999)</f>
        <v>999</v>
      </c>
    </row>
    <row r="17" customFormat="false" ht="15" hidden="false" customHeight="false" outlineLevel="0" collapsed="false">
      <c r="A17" s="31" t="n">
        <v>13</v>
      </c>
      <c r="B17" s="32" t="n">
        <f aca="false">DATE(2026,10+A17,1)</f>
        <v>46692</v>
      </c>
      <c r="C17" s="31" t="n">
        <f aca="false">INT((A17-1)/12)+1</f>
        <v>2</v>
      </c>
      <c r="D17" s="31" t="n">
        <f aca="false">IF(C17=1,Assumptions!$E$7,IF(C17=2,Assumptions!$E$8,Assumptions!$E$9))</f>
        <v>25</v>
      </c>
      <c r="E17" s="31" t="n">
        <f aca="false">D17*Assumptions!$E$10</f>
        <v>550</v>
      </c>
      <c r="F17" s="33" t="n">
        <f aca="false">E17*Assumptions!$E$11</f>
        <v>55</v>
      </c>
      <c r="G17" s="34" t="n">
        <f aca="false">MIN(1,Assumptions!$E$13+(1-Assumptions!$E$13)*(A17-1)/Assumptions!$E$14)</f>
        <v>1</v>
      </c>
      <c r="H17" s="33" t="n">
        <f aca="false">F17*Assumptions!$E$12*G17</f>
        <v>8.25</v>
      </c>
      <c r="I17" s="33" t="n">
        <f aca="false">Assumptions!$E$15*(Q16+R16+T16+U16)</f>
        <v>0.877092197323281</v>
      </c>
      <c r="J17" s="33" t="n">
        <f aca="false">H17+I17</f>
        <v>9.12709219732328</v>
      </c>
      <c r="K17" s="33" t="n">
        <f aca="false">J17*Assumptions!$E$18</f>
        <v>0.456354609866164</v>
      </c>
      <c r="L17" s="33" t="n">
        <f aca="false">(J17-K17)*Assumptions!$E$17</f>
        <v>6.06951631121998</v>
      </c>
      <c r="M17" s="33" t="n">
        <f aca="false">J17-K17-L17</f>
        <v>2.60122127623714</v>
      </c>
      <c r="N17" s="33" t="n">
        <f aca="false">L17*Assumptions!$E$19</f>
        <v>0.303475815560999</v>
      </c>
      <c r="O17" s="33" t="n">
        <f aca="false">L17-N17</f>
        <v>5.76604049565898</v>
      </c>
      <c r="P17" s="33" t="n">
        <f aca="false">O5*(1-Assumptions!$E$20)^12</f>
        <v>2.3556860247419</v>
      </c>
      <c r="Q17" s="33" t="n">
        <f aca="false">Q16*(1-Assumptions!$E$20)+O17-P17</f>
        <v>50.6523491270669</v>
      </c>
      <c r="R17" s="33" t="n">
        <f aca="false">R16*(1-Assumptions!$E$22)+P17*(1-Assumptions!$E$21)</f>
        <v>2.12011742226771</v>
      </c>
      <c r="S17" s="33" t="n">
        <f aca="false">Q17+R17</f>
        <v>52.7724665493346</v>
      </c>
      <c r="T17" s="33" t="n">
        <f aca="false">T16*(1-Assumptions!$E$24)+M17*Assumptions!$E$23</f>
        <v>8.39841888540133</v>
      </c>
      <c r="U17" s="33" t="n">
        <f aca="false">U16*(1-Assumptions!$E$25)+K17</f>
        <v>3.7790827609483</v>
      </c>
      <c r="V17" s="33" t="n">
        <f aca="false">V16+M17</f>
        <v>24.5585318382167</v>
      </c>
      <c r="W17" s="33" t="n">
        <f aca="false">N17+Q16*Assumptions!$E$20+P17*Assumptions!$E$21+R16*Assumptions!$E$22+T16*Assumptions!$E$24+U16*Assumptions!$E$25</f>
        <v>1.08920439078222</v>
      </c>
      <c r="X17" s="33" t="n">
        <f aca="false">IF(A17&lt;Assumptions!$E$34,0,Assumptions!$E$36*MIN(1,(A17-Assumptions!$E$34+1)/Assumptions!$E$35))*(S17+T17)</f>
        <v>18.3512656304208</v>
      </c>
      <c r="Y17" s="31" t="n">
        <f aca="false">IF(Y16&gt;0,Y16,IF(AND(A17&gt;=Assumptions!$E$41,Q16+R16+T16&gt;=Assumptions!$E$40),A17,0))</f>
        <v>9</v>
      </c>
      <c r="Z17" s="33" t="n">
        <f aca="false">IF(Y17&gt;0,Assumptions!$E$42*MIN(1,(A17-Y17+1)/Assumptions!$E$43),0)*(S17+T17)</f>
        <v>16.99191262076</v>
      </c>
      <c r="AA17" s="35" t="n">
        <f aca="false">(1+Assumptions!$E$32)^(C17-1)</f>
        <v>1.05</v>
      </c>
      <c r="AB17" s="36" t="n">
        <f aca="false">O17*Assumptions!$E$27*AA17</f>
        <v>599.379909523751</v>
      </c>
      <c r="AC17" s="36" t="n">
        <f aca="false">(Q16+R16)*Assumptions!$E$28*AA17</f>
        <v>4935.48275829826</v>
      </c>
      <c r="AD17" s="36" t="n">
        <f aca="false">M17*Assumptions!$E$29*AA17</f>
        <v>1362.90988768445</v>
      </c>
      <c r="AE17" s="36" t="n">
        <f aca="false">T16*Assumptions!$E$30*AA17</f>
        <v>629.216829482982</v>
      </c>
      <c r="AF17" s="36" t="n">
        <f aca="false">U16*Assumptions!$E$31*AA17</f>
        <v>1427.75072707268</v>
      </c>
      <c r="AG17" s="36" t="n">
        <f aca="false">X17*Assumptions!$E$37*Assumptions!$E$38</f>
        <v>1835.12656304208</v>
      </c>
      <c r="AH17" s="36" t="n">
        <f aca="false">Z17*Assumptions!$E$44*Assumptions!$E$45</f>
        <v>594.716941726599</v>
      </c>
      <c r="AI17" s="36" t="n">
        <f aca="false">SUM(AB17:AH17)</f>
        <v>11384.5836168308</v>
      </c>
      <c r="AJ17" s="36" t="n">
        <f aca="false">(S17*Assumptions!$E$28+T17*Assumptions!$E$30+U17*Assumptions!$E$31)*AA17+AG17+AH17</f>
        <v>10195.4369718153</v>
      </c>
      <c r="AK17" s="36" t="n">
        <f aca="false">(AI17-AH17)*Assumptions!$E$49</f>
        <v>377.645333628647</v>
      </c>
      <c r="AL17" s="36" t="n">
        <f aca="false">(AC17+AE17+AF17)*Assumptions!$E$50</f>
        <v>48.9471522039774</v>
      </c>
      <c r="AM17" s="36" t="n">
        <f aca="false">S17*Assumptions!$E$51+M17*Assumptions!$E$52</f>
        <v>104.983902330225</v>
      </c>
      <c r="AN17" s="36" t="n">
        <f aca="false">Assumptions!$E$53+Assumptions!$E$54*(S17+T17+U17)</f>
        <v>249.899936391368</v>
      </c>
      <c r="AO17" s="36" t="n">
        <f aca="false">IF(C17&gt;=2,Assumptions!$E$55,0)</f>
        <v>200</v>
      </c>
      <c r="AP17" s="33" t="n">
        <f aca="false">E17*Assumptions!$E$60/60+F17*Assumptions!$E$61+J17*Assumptions!$E$62+(S17+T17)*Assumptions!$E$63+X17*Assumptions!$E$64+Z17*Assumptions!$E$65+U17*Assumptions!$E$66+Assumptions!$E$67*52/12</f>
        <v>164.252102615763</v>
      </c>
      <c r="AQ17" s="33" t="n">
        <f aca="false">IF(BC16=1,Assumptions!$E$69,Assumptions!$E$68)*52/12</f>
        <v>130</v>
      </c>
      <c r="AR17" s="33" t="n">
        <f aca="false">MAX(0,AP17-AQ17)</f>
        <v>34.2521026157633</v>
      </c>
      <c r="AS17" s="36" t="n">
        <f aca="false">AR17*Assumptions!$E$70*Assumptions!$E$71</f>
        <v>328.820185111327</v>
      </c>
      <c r="AT17" s="36" t="n">
        <f aca="false">Assumptions!$E$56/12</f>
        <v>66.6666666666667</v>
      </c>
      <c r="AU17" s="36" t="n">
        <f aca="false">IF(A17=1,Assumptions!$E$57,0)+Assumptions!$E$58</f>
        <v>40</v>
      </c>
      <c r="AV17" s="36" t="n">
        <f aca="false">IF(AND(Y17&gt;0,Y17=A17),Assumptions!$E$46,0)+IF(Y17&gt;0,Assumptions!$E$47,0)</f>
        <v>50</v>
      </c>
      <c r="AW17" s="36" t="n">
        <f aca="false">AK17+AL17+AM17+AN17+AO17+AS17+AT17+AU17+AV17</f>
        <v>1466.96317633221</v>
      </c>
      <c r="AX17" s="36" t="n">
        <f aca="false">AI17-AW17</f>
        <v>9917.62044049858</v>
      </c>
      <c r="AY17" s="36" t="n">
        <f aca="false">MAX(0,AX17)*Assumptions!$E$73</f>
        <v>2479.40511012465</v>
      </c>
      <c r="AZ17" s="36" t="n">
        <f aca="false">AX17-AY17</f>
        <v>7438.21533037394</v>
      </c>
      <c r="BA17" s="36" t="n">
        <f aca="false">BA16+AZ17</f>
        <v>45420.1273310615</v>
      </c>
      <c r="BB17" s="31" t="n">
        <f aca="false">IF(AZ17&gt;=Assumptions!$E$74/12,BB16+1,0)</f>
        <v>0</v>
      </c>
      <c r="BC17" s="31" t="n">
        <f aca="false">IF(OR(BC16=1,BB17&gt;=3),1,0)</f>
        <v>0</v>
      </c>
      <c r="BD17" s="31" t="n">
        <f aca="false">IF(AZ17&gt;=Assumptions!$E$75/12,BD16+1,0)</f>
        <v>0</v>
      </c>
      <c r="BE17" s="33" t="n">
        <f aca="false">AP17*12/52</f>
        <v>37.9043313728684</v>
      </c>
      <c r="BF17" s="33" t="n">
        <f aca="false">AR17*12/52</f>
        <v>7.90433137286844</v>
      </c>
      <c r="BG17" s="31" t="n">
        <f aca="false">IF(AX17&gt;0,A17,999)</f>
        <v>13</v>
      </c>
      <c r="BH17" s="31" t="n">
        <f aca="false">IF(BB17&gt;=3,A17,999)</f>
        <v>999</v>
      </c>
      <c r="BI17" s="31" t="n">
        <f aca="false">IF(BD17&gt;=3,A17,999)</f>
        <v>999</v>
      </c>
    </row>
    <row r="18" customFormat="false" ht="15" hidden="false" customHeight="false" outlineLevel="0" collapsed="false">
      <c r="A18" s="31" t="n">
        <v>14</v>
      </c>
      <c r="B18" s="32" t="n">
        <f aca="false">DATE(2026,10+A18,1)</f>
        <v>46722</v>
      </c>
      <c r="C18" s="31" t="n">
        <f aca="false">INT((A18-1)/12)+1</f>
        <v>2</v>
      </c>
      <c r="D18" s="31" t="n">
        <f aca="false">IF(C18=1,Assumptions!$E$7,IF(C18=2,Assumptions!$E$8,Assumptions!$E$9))</f>
        <v>25</v>
      </c>
      <c r="E18" s="31" t="n">
        <f aca="false">D18*Assumptions!$E$10</f>
        <v>550</v>
      </c>
      <c r="F18" s="33" t="n">
        <f aca="false">E18*Assumptions!$E$11</f>
        <v>55</v>
      </c>
      <c r="G18" s="34" t="n">
        <f aca="false">MIN(1,Assumptions!$E$13+(1-Assumptions!$E$13)*(A18-1)/Assumptions!$E$14)</f>
        <v>1</v>
      </c>
      <c r="H18" s="33" t="n">
        <f aca="false">F18*Assumptions!$E$12*G18</f>
        <v>8.25</v>
      </c>
      <c r="I18" s="33" t="n">
        <f aca="false">Assumptions!$E$15*(Q17+R17+T17+U17)</f>
        <v>0.974249522935263</v>
      </c>
      <c r="J18" s="33" t="n">
        <f aca="false">H18+I18</f>
        <v>9.22424952293526</v>
      </c>
      <c r="K18" s="33" t="n">
        <f aca="false">J18*Assumptions!$E$18</f>
        <v>0.461212476146763</v>
      </c>
      <c r="L18" s="33" t="n">
        <f aca="false">(J18-K18)*Assumptions!$E$17</f>
        <v>6.13412593275195</v>
      </c>
      <c r="M18" s="33" t="n">
        <f aca="false">J18-K18-L18</f>
        <v>2.62891111403655</v>
      </c>
      <c r="N18" s="33" t="n">
        <f aca="false">L18*Assumptions!$E$19</f>
        <v>0.306706296637598</v>
      </c>
      <c r="O18" s="33" t="n">
        <f aca="false">L18-N18</f>
        <v>5.82741963611435</v>
      </c>
      <c r="P18" s="33" t="n">
        <f aca="false">O6*(1-Assumptions!$E$20)^12</f>
        <v>2.77641841951171</v>
      </c>
      <c r="Q18" s="33" t="n">
        <f aca="false">Q17*(1-Assumptions!$E$20)+O18-P18</f>
        <v>53.4500885980342</v>
      </c>
      <c r="R18" s="33" t="n">
        <f aca="false">R17*(1-Assumptions!$E$22)+P18*(1-Assumptions!$E$21)</f>
        <v>4.56589106427156</v>
      </c>
      <c r="S18" s="33" t="n">
        <f aca="false">Q18+R18</f>
        <v>58.0159796623057</v>
      </c>
      <c r="T18" s="33" t="n">
        <f aca="false">T17*(1-Assumptions!$E$24)+M18*Assumptions!$E$23</f>
        <v>9.19803076445391</v>
      </c>
      <c r="U18" s="33" t="n">
        <f aca="false">U17*(1-Assumptions!$E$25)+K18</f>
        <v>4.14581816807136</v>
      </c>
      <c r="V18" s="33" t="n">
        <f aca="false">V17+M18</f>
        <v>27.1874429522532</v>
      </c>
      <c r="W18" s="33" t="n">
        <f aca="false">N18+Q17*Assumptions!$E$20+P18*Assumptions!$E$21+R17*Assumptions!$E$22+T17*Assumptions!$E$24+U17*Assumptions!$E$25</f>
        <v>1.23704245536654</v>
      </c>
      <c r="X18" s="33" t="n">
        <f aca="false">IF(A18&lt;Assumptions!$E$34,0,Assumptions!$E$36*MIN(1,(A18-Assumptions!$E$34+1)/Assumptions!$E$35))*(S18+T18)</f>
        <v>20.1642031280279</v>
      </c>
      <c r="Y18" s="31" t="n">
        <f aca="false">IF(Y17&gt;0,Y17,IF(AND(A18&gt;=Assumptions!$E$41,Q17+R17+T17&gt;=Assumptions!$E$40),A18,0))</f>
        <v>9</v>
      </c>
      <c r="Z18" s="33" t="n">
        <f aca="false">IF(Y18&gt;0,Assumptions!$E$42*MIN(1,(A18-Y18+1)/Assumptions!$E$43),0)*(S18+T18)</f>
        <v>22.4046701422532</v>
      </c>
      <c r="AA18" s="35" t="n">
        <f aca="false">(1+Assumptions!$E$32)^(C18-1)</f>
        <v>1.05</v>
      </c>
      <c r="AB18" s="36" t="n">
        <f aca="false">O18*Assumptions!$E$27*AA18</f>
        <v>605.760271174087</v>
      </c>
      <c r="AC18" s="36" t="n">
        <f aca="false">(Q17+R17)*Assumptions!$E$28*AA18</f>
        <v>5485.69789780333</v>
      </c>
      <c r="AD18" s="36" t="n">
        <f aca="false">M18*Assumptions!$E$29*AA18</f>
        <v>1377.41797819945</v>
      </c>
      <c r="AE18" s="36" t="n">
        <f aca="false">T17*Assumptions!$E$30*AA18</f>
        <v>696.648846544041</v>
      </c>
      <c r="AF18" s="36" t="n">
        <f aca="false">U17*Assumptions!$E$31*AA18</f>
        <v>1583.24672269929</v>
      </c>
      <c r="AG18" s="36" t="n">
        <f aca="false">X18*Assumptions!$E$37*Assumptions!$E$38</f>
        <v>2016.42031280279</v>
      </c>
      <c r="AH18" s="36" t="n">
        <f aca="false">Z18*Assumptions!$E$44*Assumptions!$E$45</f>
        <v>784.163454978862</v>
      </c>
      <c r="AI18" s="36" t="n">
        <f aca="false">SUM(AB18:AH18)</f>
        <v>12549.3554842018</v>
      </c>
      <c r="AJ18" s="36" t="n">
        <f aca="false">(S18*Assumptions!$E$28+T18*Assumptions!$E$30+U18*Assumptions!$E$31)*AA18+AG18+AH18</f>
        <v>11331.2120271033</v>
      </c>
      <c r="AK18" s="36" t="n">
        <f aca="false">(AI18-AH18)*Assumptions!$E$49</f>
        <v>411.781721022805</v>
      </c>
      <c r="AL18" s="36" t="n">
        <f aca="false">(AC18+AE18+AF18)*Assumptions!$E$50</f>
        <v>54.3591542693266</v>
      </c>
      <c r="AM18" s="36" t="n">
        <f aca="false">S18*Assumptions!$E$51+M18*Assumptions!$E$52</f>
        <v>111.95364128843</v>
      </c>
      <c r="AN18" s="36" t="n">
        <f aca="false">Assumptions!$E$53+Assumptions!$E$54*(S18+T18+U18)</f>
        <v>262.719657189662</v>
      </c>
      <c r="AO18" s="36" t="n">
        <f aca="false">IF(C18&gt;=2,Assumptions!$E$55,0)</f>
        <v>200</v>
      </c>
      <c r="AP18" s="33" t="n">
        <f aca="false">E18*Assumptions!$E$60/60+F18*Assumptions!$E$61+J18*Assumptions!$E$62+(S18+T18)*Assumptions!$E$63+X18*Assumptions!$E$64+Z18*Assumptions!$E$65+U18*Assumptions!$E$66+Assumptions!$E$67*52/12</f>
        <v>174.716895259324</v>
      </c>
      <c r="AQ18" s="33" t="n">
        <f aca="false">IF(BC17=1,Assumptions!$E$69,Assumptions!$E$68)*52/12</f>
        <v>130</v>
      </c>
      <c r="AR18" s="33" t="n">
        <f aca="false">MAX(0,AP18-AQ18)</f>
        <v>44.7168952593242</v>
      </c>
      <c r="AS18" s="36" t="n">
        <f aca="false">AR18*Assumptions!$E$70*Assumptions!$E$71</f>
        <v>429.282194489512</v>
      </c>
      <c r="AT18" s="36" t="n">
        <f aca="false">Assumptions!$E$56/12</f>
        <v>66.6666666666667</v>
      </c>
      <c r="AU18" s="36" t="n">
        <f aca="false">IF(A18=1,Assumptions!$E$57,0)+Assumptions!$E$58</f>
        <v>40</v>
      </c>
      <c r="AV18" s="36" t="n">
        <f aca="false">IF(AND(Y18&gt;0,Y18=A18),Assumptions!$E$46,0)+IF(Y18&gt;0,Assumptions!$E$47,0)</f>
        <v>50</v>
      </c>
      <c r="AW18" s="36" t="n">
        <f aca="false">AK18+AL18+AM18+AN18+AO18+AS18+AT18+AU18+AV18</f>
        <v>1626.7630349264</v>
      </c>
      <c r="AX18" s="36" t="n">
        <f aca="false">AI18-AW18</f>
        <v>10922.5924492754</v>
      </c>
      <c r="AY18" s="36" t="n">
        <f aca="false">MAX(0,AX18)*Assumptions!$E$73</f>
        <v>2730.64811231886</v>
      </c>
      <c r="AZ18" s="36" t="n">
        <f aca="false">AX18-AY18</f>
        <v>8191.94433695658</v>
      </c>
      <c r="BA18" s="36" t="n">
        <f aca="false">BA17+AZ18</f>
        <v>53612.0716680181</v>
      </c>
      <c r="BB18" s="31" t="n">
        <f aca="false">IF(AZ18&gt;=Assumptions!$E$74/12,BB17+1,0)</f>
        <v>0</v>
      </c>
      <c r="BC18" s="31" t="n">
        <f aca="false">IF(OR(BC17=1,BB18&gt;=3),1,0)</f>
        <v>0</v>
      </c>
      <c r="BD18" s="31" t="n">
        <f aca="false">IF(AZ18&gt;=Assumptions!$E$75/12,BD17+1,0)</f>
        <v>0</v>
      </c>
      <c r="BE18" s="33" t="n">
        <f aca="false">AP18*12/52</f>
        <v>40.3192835213825</v>
      </c>
      <c r="BF18" s="33" t="n">
        <f aca="false">AR18*12/52</f>
        <v>10.3192835213825</v>
      </c>
      <c r="BG18" s="31" t="n">
        <f aca="false">IF(AX18&gt;0,A18,999)</f>
        <v>14</v>
      </c>
      <c r="BH18" s="31" t="n">
        <f aca="false">IF(BB18&gt;=3,A18,999)</f>
        <v>999</v>
      </c>
      <c r="BI18" s="31" t="n">
        <f aca="false">IF(BD18&gt;=3,A18,999)</f>
        <v>999</v>
      </c>
    </row>
    <row r="19" customFormat="false" ht="15" hidden="false" customHeight="false" outlineLevel="0" collapsed="false">
      <c r="A19" s="31" t="n">
        <v>15</v>
      </c>
      <c r="B19" s="32" t="n">
        <f aca="false">DATE(2026,10+A19,1)</f>
        <v>46753</v>
      </c>
      <c r="C19" s="31" t="n">
        <f aca="false">INT((A19-1)/12)+1</f>
        <v>2</v>
      </c>
      <c r="D19" s="31" t="n">
        <f aca="false">IF(C19=1,Assumptions!$E$7,IF(C19=2,Assumptions!$E$8,Assumptions!$E$9))</f>
        <v>25</v>
      </c>
      <c r="E19" s="31" t="n">
        <f aca="false">D19*Assumptions!$E$10</f>
        <v>550</v>
      </c>
      <c r="F19" s="33" t="n">
        <f aca="false">E19*Assumptions!$E$11</f>
        <v>55</v>
      </c>
      <c r="G19" s="34" t="n">
        <f aca="false">MIN(1,Assumptions!$E$13+(1-Assumptions!$E$13)*(A19-1)/Assumptions!$E$14)</f>
        <v>1</v>
      </c>
      <c r="H19" s="33" t="n">
        <f aca="false">F19*Assumptions!$E$12*G19</f>
        <v>8.25</v>
      </c>
      <c r="I19" s="33" t="n">
        <f aca="false">Assumptions!$E$15*(Q18+R18+T18+U18)</f>
        <v>1.07039742892246</v>
      </c>
      <c r="J19" s="33" t="n">
        <f aca="false">H19+I19</f>
        <v>9.32039742892247</v>
      </c>
      <c r="K19" s="33" t="n">
        <f aca="false">J19*Assumptions!$E$18</f>
        <v>0.466019871446123</v>
      </c>
      <c r="L19" s="33" t="n">
        <f aca="false">(J19-K19)*Assumptions!$E$17</f>
        <v>6.19806429023344</v>
      </c>
      <c r="M19" s="33" t="n">
        <f aca="false">J19-K19-L19</f>
        <v>2.6563132672429</v>
      </c>
      <c r="N19" s="33" t="n">
        <f aca="false">L19*Assumptions!$E$19</f>
        <v>0.309903214511672</v>
      </c>
      <c r="O19" s="33" t="n">
        <f aca="false">L19-N19</f>
        <v>5.88816107572177</v>
      </c>
      <c r="P19" s="33" t="n">
        <f aca="false">O7*(1-Assumptions!$E$20)^12</f>
        <v>3.2018961501741</v>
      </c>
      <c r="Q19" s="33" t="n">
        <f aca="false">Q18*(1-Assumptions!$E$20)+O19-P19</f>
        <v>55.8691030805917</v>
      </c>
      <c r="R19" s="33" t="n">
        <f aca="false">R18*(1-Assumptions!$E$22)+P19*(1-Assumptions!$E$21)</f>
        <v>7.33345032282145</v>
      </c>
      <c r="S19" s="33" t="n">
        <f aca="false">Q19+R19</f>
        <v>63.2025534034131</v>
      </c>
      <c r="T19" s="33" t="n">
        <f aca="false">T18*(1-Assumptions!$E$24)+M19*Assumptions!$E$23</f>
        <v>9.98461514841745</v>
      </c>
      <c r="U19" s="33" t="n">
        <f aca="false">U18*(1-Assumptions!$E$25)+K19</f>
        <v>4.5081925853157</v>
      </c>
      <c r="V19" s="33" t="n">
        <f aca="false">V18+M19</f>
        <v>29.8437562194962</v>
      </c>
      <c r="W19" s="33" t="n">
        <f aca="false">N19+Q18*Assumptions!$E$20+P19*Assumptions!$E$21+R18*Assumptions!$E$22+T18*Assumptions!$E$24+U18*Assumptions!$E$25</f>
        <v>1.39107692626144</v>
      </c>
      <c r="X19" s="33" t="n">
        <f aca="false">IF(A19&lt;Assumptions!$E$34,0,Assumptions!$E$36*MIN(1,(A19-Assumptions!$E$34+1)/Assumptions!$E$35))*(S19+T19)</f>
        <v>21.9561505655492</v>
      </c>
      <c r="Y19" s="31" t="n">
        <f aca="false">IF(Y18&gt;0,Y18,IF(AND(A19&gt;=Assumptions!$E$41,Q18+R18+T18&gt;=Assumptions!$E$40),A19,0))</f>
        <v>9</v>
      </c>
      <c r="Z19" s="33" t="n">
        <f aca="false">IF(Y19&gt;0,Assumptions!$E$42*MIN(1,(A19-Y19+1)/Assumptions!$E$43),0)*(S19+T19)</f>
        <v>28.4616766590452</v>
      </c>
      <c r="AA19" s="35" t="n">
        <f aca="false">(1+Assumptions!$E$32)^(C19-1)</f>
        <v>1.05</v>
      </c>
      <c r="AB19" s="36" t="n">
        <f aca="false">O19*Assumptions!$E$27*AA19</f>
        <v>612.074343821278</v>
      </c>
      <c r="AC19" s="36" t="n">
        <f aca="false">(Q18+R18)*Assumptions!$E$28*AA19</f>
        <v>6030.76108589668</v>
      </c>
      <c r="AD19" s="36" t="n">
        <f aca="false">M19*Assumptions!$E$29*AA19</f>
        <v>1391.77533637192</v>
      </c>
      <c r="AE19" s="36" t="n">
        <f aca="false">T18*Assumptions!$E$30*AA19</f>
        <v>762.976651911452</v>
      </c>
      <c r="AF19" s="36" t="n">
        <f aca="false">U18*Assumptions!$E$31*AA19</f>
        <v>1736.89052151349</v>
      </c>
      <c r="AG19" s="36" t="n">
        <f aca="false">X19*Assumptions!$E$37*Assumptions!$E$38</f>
        <v>2195.61505655492</v>
      </c>
      <c r="AH19" s="36" t="n">
        <f aca="false">Z19*Assumptions!$E$44*Assumptions!$E$45</f>
        <v>996.158683066583</v>
      </c>
      <c r="AI19" s="36" t="n">
        <f aca="false">SUM(AB19:AH19)</f>
        <v>13726.2516791363</v>
      </c>
      <c r="AJ19" s="36" t="n">
        <f aca="false">(S19*Assumptions!$E$28+T19*Assumptions!$E$30+U19*Assumptions!$E$31)*AA19+AG19+AH19</f>
        <v>12478.6102760855</v>
      </c>
      <c r="AK19" s="36" t="n">
        <f aca="false">(AI19-AH19)*Assumptions!$E$49</f>
        <v>445.553254862441</v>
      </c>
      <c r="AL19" s="36" t="n">
        <f aca="false">(AC19+AE19+AF19)*Assumptions!$E$50</f>
        <v>59.7143978152514</v>
      </c>
      <c r="AM19" s="36" t="n">
        <f aca="false">S19*Assumptions!$E$51+M19*Assumptions!$E$52</f>
        <v>118.84789076291</v>
      </c>
      <c r="AN19" s="36" t="n">
        <f aca="false">Assumptions!$E$53+Assumptions!$E$54*(S19+T19+U19)</f>
        <v>275.390722274293</v>
      </c>
      <c r="AO19" s="36" t="n">
        <f aca="false">IF(C19&gt;=2,Assumptions!$E$55,0)</f>
        <v>200</v>
      </c>
      <c r="AP19" s="33" t="n">
        <f aca="false">E19*Assumptions!$E$60/60+F19*Assumptions!$E$61+J19*Assumptions!$E$62+(S19+T19)*Assumptions!$E$63+X19*Assumptions!$E$64+Z19*Assumptions!$E$65+U19*Assumptions!$E$66+Assumptions!$E$67*52/12</f>
        <v>185.201509211097</v>
      </c>
      <c r="AQ19" s="33" t="n">
        <f aca="false">IF(BC18=1,Assumptions!$E$69,Assumptions!$E$68)*52/12</f>
        <v>130</v>
      </c>
      <c r="AR19" s="33" t="n">
        <f aca="false">MAX(0,AP19-AQ19)</f>
        <v>55.201509211097</v>
      </c>
      <c r="AS19" s="36" t="n">
        <f aca="false">AR19*Assumptions!$E$70*Assumptions!$E$71</f>
        <v>529.934488426531</v>
      </c>
      <c r="AT19" s="36" t="n">
        <f aca="false">Assumptions!$E$56/12</f>
        <v>66.6666666666667</v>
      </c>
      <c r="AU19" s="36" t="n">
        <f aca="false">IF(A19=1,Assumptions!$E$57,0)+Assumptions!$E$58</f>
        <v>40</v>
      </c>
      <c r="AV19" s="36" t="n">
        <f aca="false">IF(AND(Y19&gt;0,Y19=A19),Assumptions!$E$46,0)+IF(Y19&gt;0,Assumptions!$E$47,0)</f>
        <v>50</v>
      </c>
      <c r="AW19" s="36" t="n">
        <f aca="false">AK19+AL19+AM19+AN19+AO19+AS19+AT19+AU19+AV19</f>
        <v>1786.10742080809</v>
      </c>
      <c r="AX19" s="36" t="n">
        <f aca="false">AI19-AW19</f>
        <v>11940.1442583282</v>
      </c>
      <c r="AY19" s="36" t="n">
        <f aca="false">MAX(0,AX19)*Assumptions!$E$73</f>
        <v>2985.03606458206</v>
      </c>
      <c r="AZ19" s="36" t="n">
        <f aca="false">AX19-AY19</f>
        <v>8955.10819374617</v>
      </c>
      <c r="BA19" s="36" t="n">
        <f aca="false">BA18+AZ19</f>
        <v>62567.1798617643</v>
      </c>
      <c r="BB19" s="31" t="n">
        <f aca="false">IF(AZ19&gt;=Assumptions!$E$74/12,BB18+1,0)</f>
        <v>0</v>
      </c>
      <c r="BC19" s="31" t="n">
        <f aca="false">IF(OR(BC18=1,BB19&gt;=3),1,0)</f>
        <v>0</v>
      </c>
      <c r="BD19" s="31" t="n">
        <f aca="false">IF(AZ19&gt;=Assumptions!$E$75/12,BD18+1,0)</f>
        <v>1</v>
      </c>
      <c r="BE19" s="33" t="n">
        <f aca="false">AP19*12/52</f>
        <v>42.7388098179455</v>
      </c>
      <c r="BF19" s="33" t="n">
        <f aca="false">AR19*12/52</f>
        <v>12.7388098179455</v>
      </c>
      <c r="BG19" s="31" t="n">
        <f aca="false">IF(AX19&gt;0,A19,999)</f>
        <v>15</v>
      </c>
      <c r="BH19" s="31" t="n">
        <f aca="false">IF(BB19&gt;=3,A19,999)</f>
        <v>999</v>
      </c>
      <c r="BI19" s="31" t="n">
        <f aca="false">IF(BD19&gt;=3,A19,999)</f>
        <v>999</v>
      </c>
    </row>
    <row r="20" customFormat="false" ht="15" hidden="false" customHeight="false" outlineLevel="0" collapsed="false">
      <c r="A20" s="31" t="n">
        <v>16</v>
      </c>
      <c r="B20" s="32" t="n">
        <f aca="false">DATE(2026,10+A20,1)</f>
        <v>46784</v>
      </c>
      <c r="C20" s="31" t="n">
        <f aca="false">INT((A20-1)/12)+1</f>
        <v>2</v>
      </c>
      <c r="D20" s="31" t="n">
        <f aca="false">IF(C20=1,Assumptions!$E$7,IF(C20=2,Assumptions!$E$8,Assumptions!$E$9))</f>
        <v>25</v>
      </c>
      <c r="E20" s="31" t="n">
        <f aca="false">D20*Assumptions!$E$10</f>
        <v>550</v>
      </c>
      <c r="F20" s="33" t="n">
        <f aca="false">E20*Assumptions!$E$11</f>
        <v>55</v>
      </c>
      <c r="G20" s="34" t="n">
        <f aca="false">MIN(1,Assumptions!$E$13+(1-Assumptions!$E$13)*(A20-1)/Assumptions!$E$14)</f>
        <v>1</v>
      </c>
      <c r="H20" s="33" t="n">
        <f aca="false">F20*Assumptions!$E$12*G20</f>
        <v>8.25</v>
      </c>
      <c r="I20" s="33" t="n">
        <f aca="false">Assumptions!$E$15*(Q19+R19+T19+U19)</f>
        <v>1.16543041705719</v>
      </c>
      <c r="J20" s="33" t="n">
        <f aca="false">H20+I20</f>
        <v>9.4154304170572</v>
      </c>
      <c r="K20" s="33" t="n">
        <f aca="false">J20*Assumptions!$E$18</f>
        <v>0.47077152085286</v>
      </c>
      <c r="L20" s="33" t="n">
        <f aca="false">(J20-K20)*Assumptions!$E$17</f>
        <v>6.26126122734303</v>
      </c>
      <c r="M20" s="33" t="n">
        <f aca="false">J20-K20-L20</f>
        <v>2.6833976688613</v>
      </c>
      <c r="N20" s="33" t="n">
        <f aca="false">L20*Assumptions!$E$19</f>
        <v>0.313063061367152</v>
      </c>
      <c r="O20" s="33" t="n">
        <f aca="false">L20-N20</f>
        <v>5.94819816597588</v>
      </c>
      <c r="P20" s="33" t="n">
        <f aca="false">O8*(1-Assumptions!$E$20)^12</f>
        <v>3.63213173881894</v>
      </c>
      <c r="Q20" s="33" t="n">
        <f aca="false">Q19*(1-Assumptions!$E$20)+O20-P20</f>
        <v>57.9058239923457</v>
      </c>
      <c r="R20" s="33" t="n">
        <f aca="false">R19*(1-Assumptions!$E$22)+P20*(1-Assumptions!$E$21)</f>
        <v>10.419032629688</v>
      </c>
      <c r="S20" s="33" t="n">
        <f aca="false">Q20+R20</f>
        <v>68.3248566220336</v>
      </c>
      <c r="T20" s="33" t="n">
        <f aca="false">T19*(1-Assumptions!$E$24)+M20*Assumptions!$E$23</f>
        <v>10.7584357615095</v>
      </c>
      <c r="U20" s="33" t="n">
        <f aca="false">U19*(1-Assumptions!$E$25)+K20</f>
        <v>4.86625929153566</v>
      </c>
      <c r="V20" s="33" t="n">
        <f aca="false">V19+M20</f>
        <v>32.5271538883575</v>
      </c>
      <c r="W20" s="33" t="n">
        <f aca="false">N20+Q19*Assumptions!$E$20+P20*Assumptions!$E$21+R19*Assumptions!$E$22+T19*Assumptions!$E$24+U19*Assumptions!$E$25</f>
        <v>1.55120127780796</v>
      </c>
      <c r="X20" s="33" t="n">
        <f aca="false">IF(A20&lt;Assumptions!$E$34,0,Assumptions!$E$36*MIN(1,(A20-Assumptions!$E$34+1)/Assumptions!$E$35))*(S20+T20)</f>
        <v>23.7249877150629</v>
      </c>
      <c r="Y20" s="31" t="n">
        <f aca="false">IF(Y19&gt;0,Y19,IF(AND(A20&gt;=Assumptions!$E$41,Q19+R19+T19&gt;=Assumptions!$E$40),A20,0))</f>
        <v>9</v>
      </c>
      <c r="Z20" s="33" t="n">
        <f aca="false">IF(Y20&gt;0,Assumptions!$E$42*MIN(1,(A20-Y20+1)/Assumptions!$E$43),0)*(S20+T20)</f>
        <v>35.1481299482414</v>
      </c>
      <c r="AA20" s="35" t="n">
        <f aca="false">(1+Assumptions!$E$32)^(C20-1)</f>
        <v>1.05</v>
      </c>
      <c r="AB20" s="36" t="n">
        <f aca="false">O20*Assumptions!$E$27*AA20</f>
        <v>618.315199353193</v>
      </c>
      <c r="AC20" s="36" t="n">
        <f aca="false">(Q19+R19)*Assumptions!$E$28*AA20</f>
        <v>6569.90542628479</v>
      </c>
      <c r="AD20" s="36" t="n">
        <f aca="false">M20*Assumptions!$E$29*AA20</f>
        <v>1405.96620859988</v>
      </c>
      <c r="AE20" s="36" t="n">
        <f aca="false">T19*Assumptions!$E$30*AA20</f>
        <v>828.223826561228</v>
      </c>
      <c r="AF20" s="36" t="n">
        <f aca="false">U19*Assumptions!$E$31*AA20</f>
        <v>1888.70728361801</v>
      </c>
      <c r="AG20" s="36" t="n">
        <f aca="false">X20*Assumptions!$E$37*Assumptions!$E$38</f>
        <v>2372.49877150629</v>
      </c>
      <c r="AH20" s="36" t="n">
        <f aca="false">Z20*Assumptions!$E$44*Assumptions!$E$45</f>
        <v>1230.18454818845</v>
      </c>
      <c r="AI20" s="36" t="n">
        <f aca="false">SUM(AB20:AH20)</f>
        <v>14913.8012641118</v>
      </c>
      <c r="AJ20" s="36" t="n">
        <f aca="false">(S20*Assumptions!$E$28+T20*Assumptions!$E$30+U20*Assumptions!$E$31)*AA20+AG20+AH20</f>
        <v>13636.1837421612</v>
      </c>
      <c r="AK20" s="36" t="n">
        <f aca="false">(AI20-AH20)*Assumptions!$E$49</f>
        <v>478.926585057319</v>
      </c>
      <c r="AL20" s="36" t="n">
        <f aca="false">(AC20+AE20+AF20)*Assumptions!$E$50</f>
        <v>65.0078557552482</v>
      </c>
      <c r="AM20" s="36" t="n">
        <f aca="false">S20*Assumptions!$E$51+M20*Assumptions!$E$52</f>
        <v>125.657035810462</v>
      </c>
      <c r="AN20" s="36" t="n">
        <f aca="false">Assumptions!$E$53+Assumptions!$E$54*(S20+T20+U20)</f>
        <v>287.899103350157</v>
      </c>
      <c r="AO20" s="36" t="n">
        <f aca="false">IF(C20&gt;=2,Assumptions!$E$55,0)</f>
        <v>200</v>
      </c>
      <c r="AP20" s="33" t="n">
        <f aca="false">E20*Assumptions!$E$60/60+F20*Assumptions!$E$61+J20*Assumptions!$E$62+(S20+T20)*Assumptions!$E$63+X20*Assumptions!$E$64+Z20*Assumptions!$E$65+U20*Assumptions!$E$66+Assumptions!$E$67*52/12</f>
        <v>195.694434576086</v>
      </c>
      <c r="AQ20" s="33" t="n">
        <f aca="false">IF(BC19=1,Assumptions!$E$69,Assumptions!$E$68)*52/12</f>
        <v>130</v>
      </c>
      <c r="AR20" s="33" t="n">
        <f aca="false">MAX(0,AP20-AQ20)</f>
        <v>65.694434576086</v>
      </c>
      <c r="AS20" s="36" t="n">
        <f aca="false">AR20*Assumptions!$E$70*Assumptions!$E$71</f>
        <v>630.666571930425</v>
      </c>
      <c r="AT20" s="36" t="n">
        <f aca="false">Assumptions!$E$56/12</f>
        <v>66.6666666666667</v>
      </c>
      <c r="AU20" s="36" t="n">
        <f aca="false">IF(A20=1,Assumptions!$E$57,0)+Assumptions!$E$58</f>
        <v>40</v>
      </c>
      <c r="AV20" s="36" t="n">
        <f aca="false">IF(AND(Y20&gt;0,Y20=A20),Assumptions!$E$46,0)+IF(Y20&gt;0,Assumptions!$E$47,0)</f>
        <v>50</v>
      </c>
      <c r="AW20" s="36" t="n">
        <f aca="false">AK20+AL20+AM20+AN20+AO20+AS20+AT20+AU20+AV20</f>
        <v>1944.82381857028</v>
      </c>
      <c r="AX20" s="36" t="n">
        <f aca="false">AI20-AW20</f>
        <v>12968.9774455416</v>
      </c>
      <c r="AY20" s="36" t="n">
        <f aca="false">MAX(0,AX20)*Assumptions!$E$73</f>
        <v>3242.24436138539</v>
      </c>
      <c r="AZ20" s="36" t="n">
        <f aca="false">AX20-AY20</f>
        <v>9726.73308415617</v>
      </c>
      <c r="BA20" s="36" t="n">
        <f aca="false">BA19+AZ20</f>
        <v>72293.9129459204</v>
      </c>
      <c r="BB20" s="31" t="n">
        <f aca="false">IF(AZ20&gt;=Assumptions!$E$74/12,BB19+1,0)</f>
        <v>0</v>
      </c>
      <c r="BC20" s="31" t="n">
        <f aca="false">IF(OR(BC19=1,BB20&gt;=3),1,0)</f>
        <v>0</v>
      </c>
      <c r="BD20" s="31" t="n">
        <f aca="false">IF(AZ20&gt;=Assumptions!$E$75/12,BD19+1,0)</f>
        <v>2</v>
      </c>
      <c r="BE20" s="33" t="n">
        <f aca="false">AP20*12/52</f>
        <v>45.1602541329429</v>
      </c>
      <c r="BF20" s="33" t="n">
        <f aca="false">AR20*12/52</f>
        <v>15.1602541329429</v>
      </c>
      <c r="BG20" s="31" t="n">
        <f aca="false">IF(AX20&gt;0,A20,999)</f>
        <v>16</v>
      </c>
      <c r="BH20" s="31" t="n">
        <f aca="false">IF(BB20&gt;=3,A20,999)</f>
        <v>999</v>
      </c>
      <c r="BI20" s="31" t="n">
        <f aca="false">IF(BD20&gt;=3,A20,999)</f>
        <v>999</v>
      </c>
    </row>
    <row r="21" customFormat="false" ht="15" hidden="false" customHeight="false" outlineLevel="0" collapsed="false">
      <c r="A21" s="31" t="n">
        <v>17</v>
      </c>
      <c r="B21" s="32" t="n">
        <f aca="false">DATE(2026,10+A21,1)</f>
        <v>46813</v>
      </c>
      <c r="C21" s="31" t="n">
        <f aca="false">INT((A21-1)/12)+1</f>
        <v>2</v>
      </c>
      <c r="D21" s="31" t="n">
        <f aca="false">IF(C21=1,Assumptions!$E$7,IF(C21=2,Assumptions!$E$8,Assumptions!$E$9))</f>
        <v>25</v>
      </c>
      <c r="E21" s="31" t="n">
        <f aca="false">D21*Assumptions!$E$10</f>
        <v>550</v>
      </c>
      <c r="F21" s="33" t="n">
        <f aca="false">E21*Assumptions!$E$11</f>
        <v>55</v>
      </c>
      <c r="G21" s="34" t="n">
        <f aca="false">MIN(1,Assumptions!$E$13+(1-Assumptions!$E$13)*(A21-1)/Assumptions!$E$14)</f>
        <v>1</v>
      </c>
      <c r="H21" s="33" t="n">
        <f aca="false">F21*Assumptions!$E$12*G21</f>
        <v>8.25</v>
      </c>
      <c r="I21" s="33" t="n">
        <f aca="false">Assumptions!$E$15*(Q20+R20+T20+U20)</f>
        <v>1.25924327512618</v>
      </c>
      <c r="J21" s="33" t="n">
        <f aca="false">H21+I21</f>
        <v>9.50924327512618</v>
      </c>
      <c r="K21" s="33" t="n">
        <f aca="false">J21*Assumptions!$E$18</f>
        <v>0.475462163756309</v>
      </c>
      <c r="L21" s="33" t="n">
        <f aca="false">(J21-K21)*Assumptions!$E$17</f>
        <v>6.32364677795891</v>
      </c>
      <c r="M21" s="33" t="n">
        <f aca="false">J21-K21-L21</f>
        <v>2.71013433341096</v>
      </c>
      <c r="N21" s="33" t="n">
        <f aca="false">L21*Assumptions!$E$19</f>
        <v>0.316182338897946</v>
      </c>
      <c r="O21" s="33" t="n">
        <f aca="false">L21-N21</f>
        <v>6.00746443906097</v>
      </c>
      <c r="P21" s="33" t="n">
        <f aca="false">O9*(1-Assumptions!$E$20)^12</f>
        <v>4.06713810499366</v>
      </c>
      <c r="Q21" s="33" t="n">
        <f aca="false">Q20*(1-Assumptions!$E$20)+O21-P21</f>
        <v>59.5566212064512</v>
      </c>
      <c r="R21" s="33" t="n">
        <f aca="false">R20*(1-Assumptions!$E$22)+P21*(1-Assumptions!$E$21)</f>
        <v>13.8189811084401</v>
      </c>
      <c r="S21" s="33" t="n">
        <f aca="false">Q21+R21</f>
        <v>73.3756023148913</v>
      </c>
      <c r="T21" s="33" t="n">
        <f aca="false">T20*(1-Assumptions!$E$24)+M21*Assumptions!$E$23</f>
        <v>11.5197364220286</v>
      </c>
      <c r="U21" s="33" t="n">
        <f aca="false">U20*(1-Assumptions!$E$25)+K21</f>
        <v>5.22006497300358</v>
      </c>
      <c r="V21" s="33" t="n">
        <f aca="false">V20+M21</f>
        <v>35.2372882217684</v>
      </c>
      <c r="W21" s="33" t="n">
        <f aca="false">N21+Q20*Assumptions!$E$20+P21*Assumptions!$E$21+R20*Assumptions!$E$22+T20*Assumptions!$E$24+U20*Assumptions!$E$25</f>
        <v>1.71731064023491</v>
      </c>
      <c r="X21" s="33" t="n">
        <f aca="false">IF(A21&lt;Assumptions!$E$34,0,Assumptions!$E$36*MIN(1,(A21-Assumptions!$E$34+1)/Assumptions!$E$35))*(S21+T21)</f>
        <v>25.468601621076</v>
      </c>
      <c r="Y21" s="31" t="n">
        <f aca="false">IF(Y20&gt;0,Y20,IF(AND(A21&gt;=Assumptions!$E$41,Q20+R20+T20&gt;=Assumptions!$E$40),A21,0))</f>
        <v>9</v>
      </c>
      <c r="Z21" s="33" t="n">
        <f aca="false">IF(Y21&gt;0,Assumptions!$E$42*MIN(1,(A21-Y21+1)/Assumptions!$E$43),0)*(S21+T21)</f>
        <v>42.4476693684599</v>
      </c>
      <c r="AA21" s="35" t="n">
        <f aca="false">(1+Assumptions!$E$32)^(C21-1)</f>
        <v>1.05</v>
      </c>
      <c r="AB21" s="36" t="n">
        <f aca="false">O21*Assumptions!$E$27*AA21</f>
        <v>624.475928440387</v>
      </c>
      <c r="AC21" s="36" t="n">
        <f aca="false">(Q20+R20)*Assumptions!$E$28*AA21</f>
        <v>7102.36884586039</v>
      </c>
      <c r="AD21" s="36" t="n">
        <f aca="false">M21*Assumptions!$E$29*AA21</f>
        <v>1419.97488399067</v>
      </c>
      <c r="AE21" s="36" t="n">
        <f aca="false">T20*Assumptions!$E$30*AA21</f>
        <v>892.412246417209</v>
      </c>
      <c r="AF21" s="36" t="n">
        <f aca="false">U20*Assumptions!$E$31*AA21</f>
        <v>2038.71933018887</v>
      </c>
      <c r="AG21" s="36" t="n">
        <f aca="false">X21*Assumptions!$E$37*Assumptions!$E$38</f>
        <v>2546.8601621076</v>
      </c>
      <c r="AH21" s="36" t="n">
        <f aca="false">Z21*Assumptions!$E$44*Assumptions!$E$45</f>
        <v>1485.6684278961</v>
      </c>
      <c r="AI21" s="36" t="n">
        <f aca="false">SUM(AB21:AH21)</f>
        <v>16110.4798249012</v>
      </c>
      <c r="AJ21" s="36" t="n">
        <f aca="false">(S21*Assumptions!$E$28+T21*Assumptions!$E$30+U21*Assumptions!$E$31)*AA21+AG21+AH21</f>
        <v>14802.4308072838</v>
      </c>
      <c r="AK21" s="36" t="n">
        <f aca="false">(AI21-AH21)*Assumptions!$E$49</f>
        <v>511.868398895179</v>
      </c>
      <c r="AL21" s="36" t="n">
        <f aca="false">(AC21+AE21+AF21)*Assumptions!$E$50</f>
        <v>70.2345029572653</v>
      </c>
      <c r="AM21" s="36" t="n">
        <f aca="false">S21*Assumptions!$E$51+M21*Assumptions!$E$52</f>
        <v>132.371517894779</v>
      </c>
      <c r="AN21" s="36" t="n">
        <f aca="false">Assumptions!$E$53+Assumptions!$E$54*(S21+T21+U21)</f>
        <v>300.230807419847</v>
      </c>
      <c r="AO21" s="36" t="n">
        <f aca="false">IF(C21&gt;=2,Assumptions!$E$55,0)</f>
        <v>200</v>
      </c>
      <c r="AP21" s="33" t="n">
        <f aca="false">E21*Assumptions!$E$60/60+F21*Assumptions!$E$61+J21*Assumptions!$E$62+(S21+T21)*Assumptions!$E$63+X21*Assumptions!$E$64+Z21*Assumptions!$E$65+U21*Assumptions!$E$66+Assumptions!$E$67*52/12</f>
        <v>206.183846937459</v>
      </c>
      <c r="AQ21" s="33" t="n">
        <f aca="false">IF(BC20=1,Assumptions!$E$69,Assumptions!$E$68)*52/12</f>
        <v>130</v>
      </c>
      <c r="AR21" s="33" t="n">
        <f aca="false">MAX(0,AP21-AQ21)</f>
        <v>76.1838469374593</v>
      </c>
      <c r="AS21" s="36" t="n">
        <f aca="false">AR21*Assumptions!$E$70*Assumptions!$E$71</f>
        <v>731.36493059961</v>
      </c>
      <c r="AT21" s="36" t="n">
        <f aca="false">Assumptions!$E$56/12</f>
        <v>66.6666666666667</v>
      </c>
      <c r="AU21" s="36" t="n">
        <f aca="false">IF(A21=1,Assumptions!$E$57,0)+Assumptions!$E$58</f>
        <v>40</v>
      </c>
      <c r="AV21" s="36" t="n">
        <f aca="false">IF(AND(Y21&gt;0,Y21=A21),Assumptions!$E$46,0)+IF(Y21&gt;0,Assumptions!$E$47,0)</f>
        <v>50</v>
      </c>
      <c r="AW21" s="36" t="n">
        <f aca="false">AK21+AL21+AM21+AN21+AO21+AS21+AT21+AU21+AV21</f>
        <v>2102.73682443335</v>
      </c>
      <c r="AX21" s="36" t="n">
        <f aca="false">AI21-AW21</f>
        <v>14007.7430004679</v>
      </c>
      <c r="AY21" s="36" t="n">
        <f aca="false">MAX(0,AX21)*Assumptions!$E$73</f>
        <v>3501.93575011697</v>
      </c>
      <c r="AZ21" s="36" t="n">
        <f aca="false">AX21-AY21</f>
        <v>10505.8072503509</v>
      </c>
      <c r="BA21" s="36" t="n">
        <f aca="false">BA20+AZ21</f>
        <v>82799.7201962713</v>
      </c>
      <c r="BB21" s="31" t="n">
        <f aca="false">IF(AZ21&gt;=Assumptions!$E$74/12,BB20+1,0)</f>
        <v>0</v>
      </c>
      <c r="BC21" s="31" t="n">
        <f aca="false">IF(OR(BC20=1,BB21&gt;=3),1,0)</f>
        <v>0</v>
      </c>
      <c r="BD21" s="31" t="n">
        <f aca="false">IF(AZ21&gt;=Assumptions!$E$75/12,BD20+1,0)</f>
        <v>3</v>
      </c>
      <c r="BE21" s="33" t="n">
        <f aca="false">AP21*12/52</f>
        <v>47.5808877547983</v>
      </c>
      <c r="BF21" s="33" t="n">
        <f aca="false">AR21*12/52</f>
        <v>17.5808877547983</v>
      </c>
      <c r="BG21" s="31" t="n">
        <f aca="false">IF(AX21&gt;0,A21,999)</f>
        <v>17</v>
      </c>
      <c r="BH21" s="31" t="n">
        <f aca="false">IF(BB21&gt;=3,A21,999)</f>
        <v>999</v>
      </c>
      <c r="BI21" s="31" t="n">
        <f aca="false">IF(BD21&gt;=3,A21,999)</f>
        <v>17</v>
      </c>
    </row>
    <row r="22" customFormat="false" ht="15" hidden="false" customHeight="false" outlineLevel="0" collapsed="false">
      <c r="A22" s="31" t="n">
        <v>18</v>
      </c>
      <c r="B22" s="32" t="n">
        <f aca="false">DATE(2026,10+A22,1)</f>
        <v>46844</v>
      </c>
      <c r="C22" s="31" t="n">
        <f aca="false">INT((A22-1)/12)+1</f>
        <v>2</v>
      </c>
      <c r="D22" s="31" t="n">
        <f aca="false">IF(C22=1,Assumptions!$E$7,IF(C22=2,Assumptions!$E$8,Assumptions!$E$9))</f>
        <v>25</v>
      </c>
      <c r="E22" s="31" t="n">
        <f aca="false">D22*Assumptions!$E$10</f>
        <v>550</v>
      </c>
      <c r="F22" s="33" t="n">
        <f aca="false">E22*Assumptions!$E$11</f>
        <v>55</v>
      </c>
      <c r="G22" s="34" t="n">
        <f aca="false">MIN(1,Assumptions!$E$13+(1-Assumptions!$E$13)*(A22-1)/Assumptions!$E$14)</f>
        <v>1</v>
      </c>
      <c r="H22" s="33" t="n">
        <f aca="false">F22*Assumptions!$E$12*G22</f>
        <v>8.25</v>
      </c>
      <c r="I22" s="33" t="n">
        <f aca="false">Assumptions!$E$15*(Q21+R21+T21+U21)</f>
        <v>1.35173105564885</v>
      </c>
      <c r="J22" s="33" t="n">
        <f aca="false">H22+I22</f>
        <v>9.60173105564885</v>
      </c>
      <c r="K22" s="33" t="n">
        <f aca="false">J22*Assumptions!$E$18</f>
        <v>0.480086552782443</v>
      </c>
      <c r="L22" s="33" t="n">
        <f aca="false">(J22-K22)*Assumptions!$E$17</f>
        <v>6.38515115200649</v>
      </c>
      <c r="M22" s="33" t="n">
        <f aca="false">J22-K22-L22</f>
        <v>2.73649335085992</v>
      </c>
      <c r="N22" s="33" t="n">
        <f aca="false">L22*Assumptions!$E$19</f>
        <v>0.319257557600324</v>
      </c>
      <c r="O22" s="33" t="n">
        <f aca="false">L22-N22</f>
        <v>6.06589359440616</v>
      </c>
      <c r="P22" s="33" t="n">
        <f aca="false">O10*(1-Assumptions!$E$20)^12</f>
        <v>4.11431422128453</v>
      </c>
      <c r="Q22" s="33" t="n">
        <f aca="false">Q21*(1-Assumptions!$E$20)+O22-P22</f>
        <v>61.2104174735406</v>
      </c>
      <c r="R22" s="33" t="n">
        <f aca="false">R21*(1-Assumptions!$E$22)+P22*(1-Assumptions!$E$21)</f>
        <v>17.1763893798851</v>
      </c>
      <c r="S22" s="33" t="n">
        <f aca="false">Q22+R22</f>
        <v>78.3868068534257</v>
      </c>
      <c r="T22" s="33" t="n">
        <f aca="false">T21*(1-Assumptions!$E$24)+M22*Assumptions!$E$23</f>
        <v>12.2687416697117</v>
      </c>
      <c r="U22" s="33" t="n">
        <f aca="false">U21*(1-Assumptions!$E$25)+K22</f>
        <v>5.56964990146093</v>
      </c>
      <c r="V22" s="33" t="n">
        <f aca="false">V21+M22</f>
        <v>37.9737815726283</v>
      </c>
      <c r="W22" s="33" t="n">
        <f aca="false">N22+Q21*Assumptions!$E$20+P22*Assumptions!$E$21+R21*Assumptions!$E$22+T21*Assumptions!$E$24+U21*Assumptions!$E$25</f>
        <v>1.85004033045798</v>
      </c>
      <c r="X22" s="33" t="n">
        <f aca="false">IF(A22&lt;Assumptions!$E$34,0,Assumptions!$E$36*MIN(1,(A22-Assumptions!$E$34+1)/Assumptions!$E$35))*(S22+T22)</f>
        <v>27.1966645569412</v>
      </c>
      <c r="Y22" s="31" t="n">
        <f aca="false">IF(Y21&gt;0,Y21,IF(AND(A22&gt;=Assumptions!$E$41,Q21+R21+T21&gt;=Assumptions!$E$40),A22,0))</f>
        <v>9</v>
      </c>
      <c r="Z22" s="33" t="n">
        <f aca="false">IF(Y22&gt;0,Assumptions!$E$42*MIN(1,(A22-Y22+1)/Assumptions!$E$43),0)*(S22+T22)</f>
        <v>45.3277742615687</v>
      </c>
      <c r="AA22" s="35" t="n">
        <f aca="false">(1+Assumptions!$E$32)^(C22-1)</f>
        <v>1.05</v>
      </c>
      <c r="AB22" s="36" t="n">
        <f aca="false">O22*Assumptions!$E$27*AA22</f>
        <v>630.549639138521</v>
      </c>
      <c r="AC22" s="36" t="n">
        <f aca="false">(Q21+R21)*Assumptions!$E$28*AA22</f>
        <v>7627.39386063295</v>
      </c>
      <c r="AD22" s="36" t="n">
        <f aca="false">M22*Assumptions!$E$29*AA22</f>
        <v>1433.78569118306</v>
      </c>
      <c r="AE22" s="36" t="n">
        <f aca="false">T21*Assumptions!$E$30*AA22</f>
        <v>955.562136207269</v>
      </c>
      <c r="AF22" s="36" t="n">
        <f aca="false">U21*Assumptions!$E$31*AA22</f>
        <v>2186.94622043985</v>
      </c>
      <c r="AG22" s="36" t="n">
        <f aca="false">X22*Assumptions!$E$37*Assumptions!$E$38</f>
        <v>2719.66645569412</v>
      </c>
      <c r="AH22" s="36" t="n">
        <f aca="false">Z22*Assumptions!$E$44*Assumptions!$E$45</f>
        <v>1586.4720991549</v>
      </c>
      <c r="AI22" s="36" t="n">
        <f aca="false">SUM(AB22:AH22)</f>
        <v>17140.3761024507</v>
      </c>
      <c r="AJ22" s="36" t="n">
        <f aca="false">(S22*Assumptions!$E$28+T22*Assumptions!$E$30+U22*Assumptions!$E$31)*AA22+AG22+AH22</f>
        <v>15805.5440749823</v>
      </c>
      <c r="AK22" s="36" t="n">
        <f aca="false">(AI22-AH22)*Assumptions!$E$49</f>
        <v>544.386640115352</v>
      </c>
      <c r="AL22" s="36" t="n">
        <f aca="false">(AC22+AE22+AF22)*Assumptions!$E$50</f>
        <v>75.3893155209605</v>
      </c>
      <c r="AM22" s="36" t="n">
        <f aca="false">S22*Assumptions!$E$51+M22*Assumptions!$E$52</f>
        <v>139.030908829681</v>
      </c>
      <c r="AN22" s="36" t="n">
        <f aca="false">Assumptions!$E$53+Assumptions!$E$54*(S22+T22+U22)</f>
        <v>312.450396849197</v>
      </c>
      <c r="AO22" s="36" t="n">
        <f aca="false">IF(C22&gt;=2,Assumptions!$E$55,0)</f>
        <v>200</v>
      </c>
      <c r="AP22" s="33" t="n">
        <f aca="false">E22*Assumptions!$E$60/60+F22*Assumptions!$E$61+J22*Assumptions!$E$62+(S22+T22)*Assumptions!$E$63+X22*Assumptions!$E$64+Z22*Assumptions!$E$65+U22*Assumptions!$E$66+Assumptions!$E$67*52/12</f>
        <v>215.702781217268</v>
      </c>
      <c r="AQ22" s="33" t="n">
        <f aca="false">IF(BC21=1,Assumptions!$E$69,Assumptions!$E$68)*52/12</f>
        <v>130</v>
      </c>
      <c r="AR22" s="33" t="n">
        <f aca="false">MAX(0,AP22-AQ22)</f>
        <v>85.7027812172684</v>
      </c>
      <c r="AS22" s="36" t="n">
        <f aca="false">AR22*Assumptions!$E$70*Assumptions!$E$71</f>
        <v>822.746699685776</v>
      </c>
      <c r="AT22" s="36" t="n">
        <f aca="false">Assumptions!$E$56/12</f>
        <v>66.6666666666667</v>
      </c>
      <c r="AU22" s="36" t="n">
        <f aca="false">IF(A22=1,Assumptions!$E$57,0)+Assumptions!$E$58</f>
        <v>40</v>
      </c>
      <c r="AV22" s="36" t="n">
        <f aca="false">IF(AND(Y22&gt;0,Y22=A22),Assumptions!$E$46,0)+IF(Y22&gt;0,Assumptions!$E$47,0)</f>
        <v>50</v>
      </c>
      <c r="AW22" s="36" t="n">
        <f aca="false">AK22+AL22+AM22+AN22+AO22+AS22+AT22+AU22+AV22</f>
        <v>2250.67062766763</v>
      </c>
      <c r="AX22" s="36" t="n">
        <f aca="false">AI22-AW22</f>
        <v>14889.705474783</v>
      </c>
      <c r="AY22" s="36" t="n">
        <f aca="false">MAX(0,AX22)*Assumptions!$E$73</f>
        <v>3722.42636869576</v>
      </c>
      <c r="AZ22" s="36" t="n">
        <f aca="false">AX22-AY22</f>
        <v>11167.2791060873</v>
      </c>
      <c r="BA22" s="36" t="n">
        <f aca="false">BA21+AZ22</f>
        <v>93966.9993023586</v>
      </c>
      <c r="BB22" s="31" t="n">
        <f aca="false">IF(AZ22&gt;=Assumptions!$E$74/12,BB21+1,0)</f>
        <v>0</v>
      </c>
      <c r="BC22" s="31" t="n">
        <f aca="false">IF(OR(BC21=1,BB22&gt;=3),1,0)</f>
        <v>0</v>
      </c>
      <c r="BD22" s="31" t="n">
        <f aca="false">IF(AZ22&gt;=Assumptions!$E$75/12,BD21+1,0)</f>
        <v>4</v>
      </c>
      <c r="BE22" s="33" t="n">
        <f aca="false">AP22*12/52</f>
        <v>49.7775648962927</v>
      </c>
      <c r="BF22" s="33" t="n">
        <f aca="false">AR22*12/52</f>
        <v>19.7775648962927</v>
      </c>
      <c r="BG22" s="31" t="n">
        <f aca="false">IF(AX22&gt;0,A22,999)</f>
        <v>18</v>
      </c>
      <c r="BH22" s="31" t="n">
        <f aca="false">IF(BB22&gt;=3,A22,999)</f>
        <v>999</v>
      </c>
      <c r="BI22" s="31" t="n">
        <f aca="false">IF(BD22&gt;=3,A22,999)</f>
        <v>18</v>
      </c>
    </row>
    <row r="23" customFormat="false" ht="15" hidden="false" customHeight="false" outlineLevel="0" collapsed="false">
      <c r="A23" s="31" t="n">
        <v>19</v>
      </c>
      <c r="B23" s="32" t="n">
        <f aca="false">DATE(2026,10+A23,1)</f>
        <v>46874</v>
      </c>
      <c r="C23" s="31" t="n">
        <f aca="false">INT((A23-1)/12)+1</f>
        <v>2</v>
      </c>
      <c r="D23" s="31" t="n">
        <f aca="false">IF(C23=1,Assumptions!$E$7,IF(C23=2,Assumptions!$E$8,Assumptions!$E$9))</f>
        <v>25</v>
      </c>
      <c r="E23" s="31" t="n">
        <f aca="false">D23*Assumptions!$E$10</f>
        <v>550</v>
      </c>
      <c r="F23" s="33" t="n">
        <f aca="false">E23*Assumptions!$E$11</f>
        <v>55</v>
      </c>
      <c r="G23" s="34" t="n">
        <f aca="false">MIN(1,Assumptions!$E$13+(1-Assumptions!$E$13)*(A23-1)/Assumptions!$E$14)</f>
        <v>1</v>
      </c>
      <c r="H23" s="33" t="n">
        <f aca="false">F23*Assumptions!$E$12*G23</f>
        <v>8.25</v>
      </c>
      <c r="I23" s="33" t="n">
        <f aca="false">Assumptions!$E$15*(Q22+R22+T22+U22)</f>
        <v>1.44337797636898</v>
      </c>
      <c r="J23" s="33" t="n">
        <f aca="false">H23+I23</f>
        <v>9.69337797636898</v>
      </c>
      <c r="K23" s="33" t="n">
        <f aca="false">J23*Assumptions!$E$18</f>
        <v>0.484668898818449</v>
      </c>
      <c r="L23" s="33" t="n">
        <f aca="false">(J23-K23)*Assumptions!$E$17</f>
        <v>6.44609635428537</v>
      </c>
      <c r="M23" s="33" t="n">
        <f aca="false">J23-K23-L23</f>
        <v>2.76261272326516</v>
      </c>
      <c r="N23" s="33" t="n">
        <f aca="false">L23*Assumptions!$E$19</f>
        <v>0.322304817714268</v>
      </c>
      <c r="O23" s="33" t="n">
        <f aca="false">L23-N23</f>
        <v>6.1237915365711</v>
      </c>
      <c r="P23" s="33" t="n">
        <f aca="false">O11*(1-Assumptions!$E$20)^12</f>
        <v>4.16160177605162</v>
      </c>
      <c r="Q23" s="33" t="n">
        <f aca="false">Q22*(1-Assumptions!$E$20)+O23-P23</f>
        <v>62.8665551466924</v>
      </c>
      <c r="R23" s="33" t="n">
        <f aca="false">R22*(1-Assumptions!$E$22)+P23*(1-Assumptions!$E$21)</f>
        <v>20.4924212438345</v>
      </c>
      <c r="S23" s="33" t="n">
        <f aca="false">Q23+R23</f>
        <v>83.3589763905269</v>
      </c>
      <c r="T23" s="33" t="n">
        <f aca="false">T22*(1-Assumptions!$E$24)+M23*Assumptions!$E$23</f>
        <v>13.0057245089264</v>
      </c>
      <c r="U23" s="33" t="n">
        <f aca="false">U22*(1-Assumptions!$E$25)+K23</f>
        <v>5.91507755274286</v>
      </c>
      <c r="V23" s="33" t="n">
        <f aca="false">V22+M23</f>
        <v>40.7363942958935</v>
      </c>
      <c r="W23" s="33" t="n">
        <f aca="false">N23+Q22*Assumptions!$E$20+P23*Assumptions!$E$21+R22*Assumptions!$E$22+T22*Assumptions!$E$24+U22*Assumptions!$E$25</f>
        <v>1.98123031481214</v>
      </c>
      <c r="X23" s="33" t="n">
        <f aca="false">IF(A23&lt;Assumptions!$E$34,0,Assumptions!$E$36*MIN(1,(A23-Assumptions!$E$34+1)/Assumptions!$E$35))*(S23+T23)</f>
        <v>28.909410269836</v>
      </c>
      <c r="Y23" s="31" t="n">
        <f aca="false">IF(Y22&gt;0,Y22,IF(AND(A23&gt;=Assumptions!$E$41,Q22+R22+T22&gt;=Assumptions!$E$40),A23,0))</f>
        <v>9</v>
      </c>
      <c r="Z23" s="33" t="n">
        <f aca="false">IF(Y23&gt;0,Assumptions!$E$42*MIN(1,(A23-Y23+1)/Assumptions!$E$43),0)*(S23+T23)</f>
        <v>48.1823504497266</v>
      </c>
      <c r="AA23" s="35" t="n">
        <f aca="false">(1+Assumptions!$E$32)^(C23-1)</f>
        <v>1.05</v>
      </c>
      <c r="AB23" s="36" t="n">
        <f aca="false">O23*Assumptions!$E$27*AA23</f>
        <v>636.568130226566</v>
      </c>
      <c r="AC23" s="36" t="n">
        <f aca="false">(Q22+R22)*Assumptions!$E$28*AA23</f>
        <v>8148.30857241361</v>
      </c>
      <c r="AD23" s="36" t="n">
        <f aca="false">M23*Assumptions!$E$29*AA23</f>
        <v>1447.47093635478</v>
      </c>
      <c r="AE23" s="36" t="n">
        <f aca="false">T22*Assumptions!$E$30*AA23</f>
        <v>1017.69212150258</v>
      </c>
      <c r="AF23" s="36" t="n">
        <f aca="false">U22*Assumptions!$E$31*AA23</f>
        <v>2333.40482621706</v>
      </c>
      <c r="AG23" s="36" t="n">
        <f aca="false">X23*Assumptions!$E$37*Assumptions!$E$38</f>
        <v>2890.9410269836</v>
      </c>
      <c r="AH23" s="36" t="n">
        <f aca="false">Z23*Assumptions!$E$44*Assumptions!$E$45</f>
        <v>1686.38226574043</v>
      </c>
      <c r="AI23" s="36" t="n">
        <f aca="false">SUM(AB23:AH23)</f>
        <v>18160.7678794386</v>
      </c>
      <c r="AJ23" s="36" t="n">
        <f aca="false">(S23*Assumptions!$E$28+T23*Assumptions!$E$30+U23*Assumptions!$E$31)*AA23+AG23+AH23</f>
        <v>16799.4354772564</v>
      </c>
      <c r="AK23" s="36" t="n">
        <f aca="false">(AI23-AH23)*Assumptions!$E$49</f>
        <v>576.603496479437</v>
      </c>
      <c r="AL23" s="36" t="n">
        <f aca="false">(AC23+AE23+AF23)*Assumptions!$E$50</f>
        <v>80.4958386409327</v>
      </c>
      <c r="AM23" s="36" t="n">
        <f aca="false">S23*Assumptions!$E$51+M23*Assumptions!$E$52</f>
        <v>145.637911337136</v>
      </c>
      <c r="AN23" s="36" t="n">
        <f aca="false">Assumptions!$E$53+Assumptions!$E$54*(S23+T23+U23)</f>
        <v>324.559556904392</v>
      </c>
      <c r="AO23" s="36" t="n">
        <f aca="false">IF(C23&gt;=2,Assumptions!$E$55,0)</f>
        <v>200</v>
      </c>
      <c r="AP23" s="33" t="n">
        <f aca="false">E23*Assumptions!$E$60/60+F23*Assumptions!$E$61+J23*Assumptions!$E$62+(S23+T23)*Assumptions!$E$63+X23*Assumptions!$E$64+Z23*Assumptions!$E$65+U23*Assumptions!$E$66+Assumptions!$E$67*52/12</f>
        <v>225.132016753377</v>
      </c>
      <c r="AQ23" s="33" t="n">
        <f aca="false">IF(BC22=1,Assumptions!$E$69,Assumptions!$E$68)*52/12</f>
        <v>130</v>
      </c>
      <c r="AR23" s="33" t="n">
        <f aca="false">MAX(0,AP23-AQ23)</f>
        <v>95.1320167533766</v>
      </c>
      <c r="AS23" s="36" t="n">
        <f aca="false">AR23*Assumptions!$E$70*Assumptions!$E$71</f>
        <v>913.267360832416</v>
      </c>
      <c r="AT23" s="36" t="n">
        <f aca="false">Assumptions!$E$56/12</f>
        <v>66.6666666666667</v>
      </c>
      <c r="AU23" s="36" t="n">
        <f aca="false">IF(A23=1,Assumptions!$E$57,0)+Assumptions!$E$58</f>
        <v>40</v>
      </c>
      <c r="AV23" s="36" t="n">
        <f aca="false">IF(AND(Y23&gt;0,Y23=A23),Assumptions!$E$46,0)+IF(Y23&gt;0,Assumptions!$E$47,0)</f>
        <v>50</v>
      </c>
      <c r="AW23" s="36" t="n">
        <f aca="false">AK23+AL23+AM23+AN23+AO23+AS23+AT23+AU23+AV23</f>
        <v>2397.23083086098</v>
      </c>
      <c r="AX23" s="36" t="n">
        <f aca="false">AI23-AW23</f>
        <v>15763.5370485776</v>
      </c>
      <c r="AY23" s="36" t="n">
        <f aca="false">MAX(0,AX23)*Assumptions!$E$73</f>
        <v>3940.88426214441</v>
      </c>
      <c r="AZ23" s="36" t="n">
        <f aca="false">AX23-AY23</f>
        <v>11822.6527864332</v>
      </c>
      <c r="BA23" s="36" t="n">
        <f aca="false">BA22+AZ23</f>
        <v>105789.652088792</v>
      </c>
      <c r="BB23" s="31" t="n">
        <f aca="false">IF(AZ23&gt;=Assumptions!$E$74/12,BB22+1,0)</f>
        <v>0</v>
      </c>
      <c r="BC23" s="31" t="n">
        <f aca="false">IF(OR(BC22=1,BB23&gt;=3),1,0)</f>
        <v>0</v>
      </c>
      <c r="BD23" s="31" t="n">
        <f aca="false">IF(AZ23&gt;=Assumptions!$E$75/12,BD22+1,0)</f>
        <v>5</v>
      </c>
      <c r="BE23" s="33" t="n">
        <f aca="false">AP23*12/52</f>
        <v>51.9535423277023</v>
      </c>
      <c r="BF23" s="33" t="n">
        <f aca="false">AR23*12/52</f>
        <v>21.9535423277023</v>
      </c>
      <c r="BG23" s="31" t="n">
        <f aca="false">IF(AX23&gt;0,A23,999)</f>
        <v>19</v>
      </c>
      <c r="BH23" s="31" t="n">
        <f aca="false">IF(BB23&gt;=3,A23,999)</f>
        <v>999</v>
      </c>
      <c r="BI23" s="31" t="n">
        <f aca="false">IF(BD23&gt;=3,A23,999)</f>
        <v>19</v>
      </c>
    </row>
    <row r="24" customFormat="false" ht="15" hidden="false" customHeight="false" outlineLevel="0" collapsed="false">
      <c r="A24" s="31" t="n">
        <v>20</v>
      </c>
      <c r="B24" s="32" t="n">
        <f aca="false">DATE(2026,10+A24,1)</f>
        <v>46905</v>
      </c>
      <c r="C24" s="31" t="n">
        <f aca="false">INT((A24-1)/12)+1</f>
        <v>2</v>
      </c>
      <c r="D24" s="31" t="n">
        <f aca="false">IF(C24=1,Assumptions!$E$7,IF(C24=2,Assumptions!$E$8,Assumptions!$E$9))</f>
        <v>25</v>
      </c>
      <c r="E24" s="31" t="n">
        <f aca="false">D24*Assumptions!$E$10</f>
        <v>550</v>
      </c>
      <c r="F24" s="33" t="n">
        <f aca="false">E24*Assumptions!$E$11</f>
        <v>55</v>
      </c>
      <c r="G24" s="34" t="n">
        <f aca="false">MIN(1,Assumptions!$E$13+(1-Assumptions!$E$13)*(A24-1)/Assumptions!$E$14)</f>
        <v>1</v>
      </c>
      <c r="H24" s="33" t="n">
        <f aca="false">F24*Assumptions!$E$12*G24</f>
        <v>8.25</v>
      </c>
      <c r="I24" s="33" t="n">
        <f aca="false">Assumptions!$E$15*(Q23+R23+T23+U23)</f>
        <v>1.53419667678294</v>
      </c>
      <c r="J24" s="33" t="n">
        <f aca="false">H24+I24</f>
        <v>9.78419667678294</v>
      </c>
      <c r="K24" s="33" t="n">
        <f aca="false">J24*Assumptions!$E$18</f>
        <v>0.489209833839147</v>
      </c>
      <c r="L24" s="33" t="n">
        <f aca="false">(J24-K24)*Assumptions!$E$17</f>
        <v>6.50649079006066</v>
      </c>
      <c r="M24" s="33" t="n">
        <f aca="false">J24-K24-L24</f>
        <v>2.78849605288314</v>
      </c>
      <c r="N24" s="33" t="n">
        <f aca="false">L24*Assumptions!$E$19</f>
        <v>0.325324539503033</v>
      </c>
      <c r="O24" s="33" t="n">
        <f aca="false">L24-N24</f>
        <v>6.18116625055762</v>
      </c>
      <c r="P24" s="33" t="n">
        <f aca="false">O12*(1-Assumptions!$E$20)^12</f>
        <v>4.20900500811612</v>
      </c>
      <c r="Q24" s="33" t="n">
        <f aca="false">Q23*(1-Assumptions!$E$20)+O24-P24</f>
        <v>64.5243836134004</v>
      </c>
      <c r="R24" s="33" t="n">
        <f aca="false">R23*(1-Assumptions!$E$22)+P24*(1-Assumptions!$E$21)</f>
        <v>23.7682152200431</v>
      </c>
      <c r="S24" s="33" t="n">
        <f aca="false">Q24+R24</f>
        <v>88.2925988334435</v>
      </c>
      <c r="T24" s="33" t="n">
        <f aca="false">T23*(1-Assumptions!$E$24)+M24*Assumptions!$E$23</f>
        <v>13.7309511948118</v>
      </c>
      <c r="U24" s="33" t="n">
        <f aca="false">U23*(1-Assumptions!$E$25)+K24</f>
        <v>6.25641044776343</v>
      </c>
      <c r="V24" s="33" t="n">
        <f aca="false">V23+M24</f>
        <v>43.5248903487766</v>
      </c>
      <c r="W24" s="33" t="n">
        <f aca="false">N24+Q23*Assumptions!$E$20+P24*Assumptions!$E$21+R23*Assumptions!$E$22+T23*Assumptions!$E$24+U23*Assumptions!$E$25</f>
        <v>2.11091702123033</v>
      </c>
      <c r="X24" s="33" t="n">
        <f aca="false">IF(A24&lt;Assumptions!$E$34,0,Assumptions!$E$36*MIN(1,(A24-Assumptions!$E$34+1)/Assumptions!$E$35))*(S24+T24)</f>
        <v>30.6070650084766</v>
      </c>
      <c r="Y24" s="31" t="n">
        <f aca="false">IF(Y23&gt;0,Y23,IF(AND(A24&gt;=Assumptions!$E$41,Q23+R23+T23&gt;=Assumptions!$E$40),A24,0))</f>
        <v>9</v>
      </c>
      <c r="Z24" s="33" t="n">
        <f aca="false">IF(Y24&gt;0,Assumptions!$E$42*MIN(1,(A24-Y24+1)/Assumptions!$E$43),0)*(S24+T24)</f>
        <v>51.0117750141277</v>
      </c>
      <c r="AA24" s="35" t="n">
        <f aca="false">(1+Assumptions!$E$32)^(C24-1)</f>
        <v>1.05</v>
      </c>
      <c r="AB24" s="36" t="n">
        <f aca="false">O24*Assumptions!$E$27*AA24</f>
        <v>642.532231745465</v>
      </c>
      <c r="AC24" s="36" t="n">
        <f aca="false">(Q23+R23)*Assumptions!$E$28*AA24</f>
        <v>8665.16559579527</v>
      </c>
      <c r="AD24" s="36" t="n">
        <f aca="false">M24*Assumptions!$E$29*AA24</f>
        <v>1461.03250690812</v>
      </c>
      <c r="AE24" s="36" t="n">
        <f aca="false">T23*Assumptions!$E$30*AA24</f>
        <v>1078.82484801544</v>
      </c>
      <c r="AF24" s="36" t="n">
        <f aca="false">U23*Assumptions!$E$31*AA24</f>
        <v>2478.12174072162</v>
      </c>
      <c r="AG24" s="36" t="n">
        <f aca="false">X24*Assumptions!$E$37*Assumptions!$E$38</f>
        <v>3060.70650084766</v>
      </c>
      <c r="AH24" s="36" t="n">
        <f aca="false">Z24*Assumptions!$E$44*Assumptions!$E$45</f>
        <v>1785.41212549447</v>
      </c>
      <c r="AI24" s="36" t="n">
        <f aca="false">SUM(AB24:AH24)</f>
        <v>19171.795549528</v>
      </c>
      <c r="AJ24" s="36" t="n">
        <f aca="false">(S24*Assumptions!$E$28+T24*Assumptions!$E$30+U24*Assumptions!$E$31)*AA24+AG24+AH24</f>
        <v>17784.2398337787</v>
      </c>
      <c r="AK24" s="36" t="n">
        <f aca="false">(AI24-AH24)*Assumptions!$E$49</f>
        <v>608.523419841175</v>
      </c>
      <c r="AL24" s="36" t="n">
        <f aca="false">(AC24+AE24+AF24)*Assumptions!$E$50</f>
        <v>85.5547852917263</v>
      </c>
      <c r="AM24" s="36" t="n">
        <f aca="false">S24*Assumptions!$E$51+M24*Assumptions!$E$52</f>
        <v>152.193189335052</v>
      </c>
      <c r="AN24" s="36" t="n">
        <f aca="false">Assumptions!$E$53+Assumptions!$E$54*(S24+T24+U24)</f>
        <v>336.559920952038</v>
      </c>
      <c r="AO24" s="36" t="n">
        <f aca="false">IF(C24&gt;=2,Assumptions!$E$55,0)</f>
        <v>200</v>
      </c>
      <c r="AP24" s="33" t="n">
        <f aca="false">E24*Assumptions!$E$60/60+F24*Assumptions!$E$61+J24*Assumptions!$E$62+(S24+T24)*Assumptions!$E$63+X24*Assumptions!$E$64+Z24*Assumptions!$E$65+U24*Assumptions!$E$66+Assumptions!$E$67*52/12</f>
        <v>234.472884374763</v>
      </c>
      <c r="AQ24" s="33" t="n">
        <f aca="false">IF(BC23=1,Assumptions!$E$69,Assumptions!$E$68)*52/12</f>
        <v>130</v>
      </c>
      <c r="AR24" s="33" t="n">
        <f aca="false">MAX(0,AP24-AQ24)</f>
        <v>104.472884374763</v>
      </c>
      <c r="AS24" s="36" t="n">
        <f aca="false">AR24*Assumptions!$E$70*Assumptions!$E$71</f>
        <v>1002.93968999773</v>
      </c>
      <c r="AT24" s="36" t="n">
        <f aca="false">Assumptions!$E$56/12</f>
        <v>66.6666666666667</v>
      </c>
      <c r="AU24" s="36" t="n">
        <f aca="false">IF(A24=1,Assumptions!$E$57,0)+Assumptions!$E$58</f>
        <v>40</v>
      </c>
      <c r="AV24" s="36" t="n">
        <f aca="false">IF(AND(Y24&gt;0,Y24=A24),Assumptions!$E$46,0)+IF(Y24&gt;0,Assumptions!$E$47,0)</f>
        <v>50</v>
      </c>
      <c r="AW24" s="36" t="n">
        <f aca="false">AK24+AL24+AM24+AN24+AO24+AS24+AT24+AU24+AV24</f>
        <v>2542.43767208438</v>
      </c>
      <c r="AX24" s="36" t="n">
        <f aca="false">AI24-AW24</f>
        <v>16629.3578774437</v>
      </c>
      <c r="AY24" s="36" t="n">
        <f aca="false">MAX(0,AX24)*Assumptions!$E$73</f>
        <v>4157.33946936092</v>
      </c>
      <c r="AZ24" s="36" t="n">
        <f aca="false">AX24-AY24</f>
        <v>12472.0184080827</v>
      </c>
      <c r="BA24" s="36" t="n">
        <f aca="false">BA23+AZ24</f>
        <v>118261.670496875</v>
      </c>
      <c r="BB24" s="31" t="n">
        <f aca="false">IF(AZ24&gt;=Assumptions!$E$74/12,BB23+1,0)</f>
        <v>0</v>
      </c>
      <c r="BC24" s="31" t="n">
        <f aca="false">IF(OR(BC23=1,BB24&gt;=3),1,0)</f>
        <v>0</v>
      </c>
      <c r="BD24" s="31" t="n">
        <f aca="false">IF(AZ24&gt;=Assumptions!$E$75/12,BD23+1,0)</f>
        <v>6</v>
      </c>
      <c r="BE24" s="33" t="n">
        <f aca="false">AP24*12/52</f>
        <v>54.1091271634069</v>
      </c>
      <c r="BF24" s="33" t="n">
        <f aca="false">AR24*12/52</f>
        <v>24.1091271634069</v>
      </c>
      <c r="BG24" s="31" t="n">
        <f aca="false">IF(AX24&gt;0,A24,999)</f>
        <v>20</v>
      </c>
      <c r="BH24" s="31" t="n">
        <f aca="false">IF(BB24&gt;=3,A24,999)</f>
        <v>999</v>
      </c>
      <c r="BI24" s="31" t="n">
        <f aca="false">IF(BD24&gt;=3,A24,999)</f>
        <v>20</v>
      </c>
    </row>
    <row r="25" customFormat="false" ht="15" hidden="false" customHeight="false" outlineLevel="0" collapsed="false">
      <c r="A25" s="31" t="n">
        <v>21</v>
      </c>
      <c r="B25" s="32" t="n">
        <f aca="false">DATE(2026,10+A25,1)</f>
        <v>46935</v>
      </c>
      <c r="C25" s="31" t="n">
        <f aca="false">INT((A25-1)/12)+1</f>
        <v>2</v>
      </c>
      <c r="D25" s="31" t="n">
        <f aca="false">IF(C25=1,Assumptions!$E$7,IF(C25=2,Assumptions!$E$8,Assumptions!$E$9))</f>
        <v>25</v>
      </c>
      <c r="E25" s="31" t="n">
        <f aca="false">D25*Assumptions!$E$10</f>
        <v>550</v>
      </c>
      <c r="F25" s="33" t="n">
        <f aca="false">E25*Assumptions!$E$11</f>
        <v>55</v>
      </c>
      <c r="G25" s="34" t="n">
        <f aca="false">MIN(1,Assumptions!$E$13+(1-Assumptions!$E$13)*(A25-1)/Assumptions!$E$14)</f>
        <v>1</v>
      </c>
      <c r="H25" s="33" t="n">
        <f aca="false">F25*Assumptions!$E$12*G25</f>
        <v>8.25</v>
      </c>
      <c r="I25" s="33" t="n">
        <f aca="false">Assumptions!$E$15*(Q24+R24+T24+U24)</f>
        <v>1.62419940714028</v>
      </c>
      <c r="J25" s="33" t="n">
        <f aca="false">H25+I25</f>
        <v>9.87419940714028</v>
      </c>
      <c r="K25" s="33" t="n">
        <f aca="false">J25*Assumptions!$E$18</f>
        <v>0.493709970357014</v>
      </c>
      <c r="L25" s="33" t="n">
        <f aca="false">(J25-K25)*Assumptions!$E$17</f>
        <v>6.56634260574829</v>
      </c>
      <c r="M25" s="33" t="n">
        <f aca="false">J25-K25-L25</f>
        <v>2.81414683103498</v>
      </c>
      <c r="N25" s="33" t="n">
        <f aca="false">L25*Assumptions!$E$19</f>
        <v>0.328317130287414</v>
      </c>
      <c r="O25" s="33" t="n">
        <f aca="false">L25-N25</f>
        <v>6.23802547546087</v>
      </c>
      <c r="P25" s="33" t="n">
        <f aca="false">O13*(1-Assumptions!$E$20)^12</f>
        <v>4.25652807883451</v>
      </c>
      <c r="Q25" s="33" t="n">
        <f aca="false">Q24*(1-Assumptions!$E$20)+O25-P25</f>
        <v>66.1832590919598</v>
      </c>
      <c r="R25" s="33" t="n">
        <f aca="false">R24*(1-Assumptions!$E$22)+P25*(1-Assumptions!$E$21)</f>
        <v>27.0048851104931</v>
      </c>
      <c r="S25" s="33" t="n">
        <f aca="false">Q25+R25</f>
        <v>93.1881442024529</v>
      </c>
      <c r="T25" s="33" t="n">
        <f aca="false">T24*(1-Assumptions!$E$24)+M25*Assumptions!$E$23</f>
        <v>14.4446813913815</v>
      </c>
      <c r="U25" s="33" t="n">
        <f aca="false">U24*(1-Assumptions!$E$25)+K25</f>
        <v>6.59371015692636</v>
      </c>
      <c r="V25" s="33" t="n">
        <f aca="false">V24+M25</f>
        <v>46.3390371798116</v>
      </c>
      <c r="W25" s="33" t="n">
        <f aca="false">N25+Q24*Assumptions!$E$20+P25*Assumptions!$E$21+R24*Assumptions!$E$22+T24*Assumptions!$E$24+U24*Assumptions!$E$25</f>
        <v>2.23913603377739</v>
      </c>
      <c r="X25" s="33" t="n">
        <f aca="false">IF(A25&lt;Assumptions!$E$34,0,Assumptions!$E$36*MIN(1,(A25-Assumptions!$E$34+1)/Assumptions!$E$35))*(S25+T25)</f>
        <v>32.2898476781503</v>
      </c>
      <c r="Y25" s="31" t="n">
        <f aca="false">IF(Y24&gt;0,Y24,IF(AND(A25&gt;=Assumptions!$E$41,Q24+R24+T24&gt;=Assumptions!$E$40),A25,0))</f>
        <v>9</v>
      </c>
      <c r="Z25" s="33" t="n">
        <f aca="false">IF(Y25&gt;0,Assumptions!$E$42*MIN(1,(A25-Y25+1)/Assumptions!$E$43),0)*(S25+T25)</f>
        <v>53.8164127969172</v>
      </c>
      <c r="AA25" s="35" t="n">
        <f aca="false">(1+Assumptions!$E$32)^(C25-1)</f>
        <v>1.05</v>
      </c>
      <c r="AB25" s="36" t="n">
        <f aca="false">O25*Assumptions!$E$27*AA25</f>
        <v>648.442748174158</v>
      </c>
      <c r="AC25" s="36" t="n">
        <f aca="false">(Q24+R24)*Assumptions!$E$28*AA25</f>
        <v>9178.01564873646</v>
      </c>
      <c r="AD25" s="36" t="n">
        <f aca="false">M25*Assumptions!$E$29*AA25</f>
        <v>1474.47223212078</v>
      </c>
      <c r="AE25" s="36" t="n">
        <f aca="false">T24*Assumptions!$E$30*AA25</f>
        <v>1138.98240160964</v>
      </c>
      <c r="AF25" s="36" t="n">
        <f aca="false">U24*Assumptions!$E$31*AA25</f>
        <v>2621.12315709049</v>
      </c>
      <c r="AG25" s="36" t="n">
        <f aca="false">X25*Assumptions!$E$37*Assumptions!$E$38</f>
        <v>3228.98476781503</v>
      </c>
      <c r="AH25" s="36" t="n">
        <f aca="false">Z25*Assumptions!$E$44*Assumptions!$E$45</f>
        <v>1883.5744478921</v>
      </c>
      <c r="AI25" s="36" t="n">
        <f aca="false">SUM(AB25:AH25)</f>
        <v>20173.5954034387</v>
      </c>
      <c r="AJ25" s="36" t="n">
        <f aca="false">(S25*Assumptions!$E$28+T25*Assumptions!$E$30+U25*Assumptions!$E$31)*AA25+AG25+AH25</f>
        <v>18760.0879972115</v>
      </c>
      <c r="AK25" s="36" t="n">
        <f aca="false">(AI25-AH25)*Assumptions!$E$49</f>
        <v>640.15073344413</v>
      </c>
      <c r="AL25" s="36" t="n">
        <f aca="false">(AC25+AE25+AF25)*Assumptions!$E$50</f>
        <v>90.5668484520561</v>
      </c>
      <c r="AM25" s="36" t="n">
        <f aca="false">S25*Assumptions!$E$51+M25*Assumptions!$E$52</f>
        <v>158.697382718591</v>
      </c>
      <c r="AN25" s="36" t="n">
        <f aca="false">Assumptions!$E$53+Assumptions!$E$54*(S25+T25+U25)</f>
        <v>348.453071501521</v>
      </c>
      <c r="AO25" s="36" t="n">
        <f aca="false">IF(C25&gt;=2,Assumptions!$E$55,0)</f>
        <v>200</v>
      </c>
      <c r="AP25" s="33" t="n">
        <f aca="false">E25*Assumptions!$E$60/60+F25*Assumptions!$E$61+J25*Assumptions!$E$62+(S25+T25)*Assumptions!$E$63+X25*Assumptions!$E$64+Z25*Assumptions!$E$65+U25*Assumptions!$E$66+Assumptions!$E$67*52/12</f>
        <v>243.726677140506</v>
      </c>
      <c r="AQ25" s="33" t="n">
        <f aca="false">IF(BC24=1,Assumptions!$E$69,Assumptions!$E$68)*52/12</f>
        <v>130</v>
      </c>
      <c r="AR25" s="33" t="n">
        <f aca="false">MAX(0,AP25-AQ25)</f>
        <v>113.726677140506</v>
      </c>
      <c r="AS25" s="36" t="n">
        <f aca="false">AR25*Assumptions!$E$70*Assumptions!$E$71</f>
        <v>1091.77610054886</v>
      </c>
      <c r="AT25" s="36" t="n">
        <f aca="false">Assumptions!$E$56/12</f>
        <v>66.6666666666667</v>
      </c>
      <c r="AU25" s="36" t="n">
        <f aca="false">IF(A25=1,Assumptions!$E$57,0)+Assumptions!$E$58</f>
        <v>40</v>
      </c>
      <c r="AV25" s="36" t="n">
        <f aca="false">IF(AND(Y25&gt;0,Y25=A25),Assumptions!$E$46,0)+IF(Y25&gt;0,Assumptions!$E$47,0)</f>
        <v>50</v>
      </c>
      <c r="AW25" s="36" t="n">
        <f aca="false">AK25+AL25+AM25+AN25+AO25+AS25+AT25+AU25+AV25</f>
        <v>2686.31080333182</v>
      </c>
      <c r="AX25" s="36" t="n">
        <f aca="false">AI25-AW25</f>
        <v>17487.2846001068</v>
      </c>
      <c r="AY25" s="36" t="n">
        <f aca="false">MAX(0,AX25)*Assumptions!$E$73</f>
        <v>4371.82115002671</v>
      </c>
      <c r="AZ25" s="36" t="n">
        <f aca="false">AX25-AY25</f>
        <v>13115.4634500801</v>
      </c>
      <c r="BA25" s="36" t="n">
        <f aca="false">BA24+AZ25</f>
        <v>131377.133946955</v>
      </c>
      <c r="BB25" s="31" t="n">
        <f aca="false">IF(AZ25&gt;=Assumptions!$E$74/12,BB24+1,0)</f>
        <v>0</v>
      </c>
      <c r="BC25" s="31" t="n">
        <f aca="false">IF(OR(BC24=1,BB25&gt;=3),1,0)</f>
        <v>0</v>
      </c>
      <c r="BD25" s="31" t="n">
        <f aca="false">IF(AZ25&gt;=Assumptions!$E$75/12,BD24+1,0)</f>
        <v>7</v>
      </c>
      <c r="BE25" s="33" t="n">
        <f aca="false">AP25*12/52</f>
        <v>56.2446178016552</v>
      </c>
      <c r="BF25" s="33" t="n">
        <f aca="false">AR25*12/52</f>
        <v>26.2446178016552</v>
      </c>
      <c r="BG25" s="31" t="n">
        <f aca="false">IF(AX25&gt;0,A25,999)</f>
        <v>21</v>
      </c>
      <c r="BH25" s="31" t="n">
        <f aca="false">IF(BB25&gt;=3,A25,999)</f>
        <v>999</v>
      </c>
      <c r="BI25" s="31" t="n">
        <f aca="false">IF(BD25&gt;=3,A25,999)</f>
        <v>21</v>
      </c>
    </row>
    <row r="26" customFormat="false" ht="15" hidden="false" customHeight="false" outlineLevel="0" collapsed="false">
      <c r="A26" s="31" t="n">
        <v>22</v>
      </c>
      <c r="B26" s="32" t="n">
        <f aca="false">DATE(2026,10+A26,1)</f>
        <v>46966</v>
      </c>
      <c r="C26" s="31" t="n">
        <f aca="false">INT((A26-1)/12)+1</f>
        <v>2</v>
      </c>
      <c r="D26" s="31" t="n">
        <f aca="false">IF(C26=1,Assumptions!$E$7,IF(C26=2,Assumptions!$E$8,Assumptions!$E$9))</f>
        <v>25</v>
      </c>
      <c r="E26" s="31" t="n">
        <f aca="false">D26*Assumptions!$E$10</f>
        <v>550</v>
      </c>
      <c r="F26" s="33" t="n">
        <f aca="false">E26*Assumptions!$E$11</f>
        <v>55</v>
      </c>
      <c r="G26" s="34" t="n">
        <f aca="false">MIN(1,Assumptions!$E$13+(1-Assumptions!$E$13)*(A26-1)/Assumptions!$E$14)</f>
        <v>1</v>
      </c>
      <c r="H26" s="33" t="n">
        <f aca="false">F26*Assumptions!$E$12*G26</f>
        <v>8.25</v>
      </c>
      <c r="I26" s="33" t="n">
        <f aca="false">Assumptions!$E$15*(Q25+R25+T25+U25)</f>
        <v>1.71339803626141</v>
      </c>
      <c r="J26" s="33" t="n">
        <f aca="false">H26+I26</f>
        <v>9.96339803626141</v>
      </c>
      <c r="K26" s="33" t="n">
        <f aca="false">J26*Assumptions!$E$18</f>
        <v>0.498169901813071</v>
      </c>
      <c r="L26" s="33" t="n">
        <f aca="false">(J26-K26)*Assumptions!$E$17</f>
        <v>6.62565969411384</v>
      </c>
      <c r="M26" s="33" t="n">
        <f aca="false">J26-K26-L26</f>
        <v>2.8395684403345</v>
      </c>
      <c r="N26" s="33" t="n">
        <f aca="false">L26*Assumptions!$E$19</f>
        <v>0.331282984705692</v>
      </c>
      <c r="O26" s="33" t="n">
        <f aca="false">L26-N26</f>
        <v>6.29437670940815</v>
      </c>
      <c r="P26" s="33" t="n">
        <f aca="false">O14*(1-Assumptions!$E$20)^12</f>
        <v>4.30417507442543</v>
      </c>
      <c r="Q26" s="33" t="n">
        <f aca="false">Q25*(1-Assumptions!$E$20)+O26-P26</f>
        <v>67.8425444314827</v>
      </c>
      <c r="R26" s="33" t="n">
        <f aca="false">R25*(1-Assumptions!$E$22)+P26*(1-Assumptions!$E$21)</f>
        <v>30.2035205497137</v>
      </c>
      <c r="S26" s="33" t="n">
        <f aca="false">Q26+R26</f>
        <v>98.0460649811963</v>
      </c>
      <c r="T26" s="33" t="n">
        <f aca="false">T25*(1-Assumptions!$E$24)+M26*Assumptions!$E$23</f>
        <v>15.1471683257738</v>
      </c>
      <c r="U26" s="33" t="n">
        <f aca="false">U25*(1-Assumptions!$E$25)+K26</f>
        <v>6.92703730481627</v>
      </c>
      <c r="V26" s="33" t="n">
        <f aca="false">V25+M26</f>
        <v>49.1786056201461</v>
      </c>
      <c r="W26" s="33" t="n">
        <f aca="false">N26+Q25*Assumptions!$E$20+P26*Assumptions!$E$21+R25*Assumptions!$E$22+T25*Assumptions!$E$24+U25*Assumptions!$E$25</f>
        <v>2.36592211103497</v>
      </c>
      <c r="X26" s="33" t="n">
        <f aca="false">IF(A26&lt;Assumptions!$E$34,0,Assumptions!$E$36*MIN(1,(A26-Assumptions!$E$34+1)/Assumptions!$E$35))*(S26+T26)</f>
        <v>33.9579699920911</v>
      </c>
      <c r="Y26" s="31" t="n">
        <f aca="false">IF(Y25&gt;0,Y25,IF(AND(A26&gt;=Assumptions!$E$41,Q25+R25+T25&gt;=Assumptions!$E$40),A26,0))</f>
        <v>9</v>
      </c>
      <c r="Z26" s="33" t="n">
        <f aca="false">IF(Y26&gt;0,Assumptions!$E$42*MIN(1,(A26-Y26+1)/Assumptions!$E$43),0)*(S26+T26)</f>
        <v>56.5966166534851</v>
      </c>
      <c r="AA26" s="35" t="n">
        <f aca="false">(1+Assumptions!$E$32)^(C26-1)</f>
        <v>1.05</v>
      </c>
      <c r="AB26" s="36" t="n">
        <f aca="false">O26*Assumptions!$E$27*AA26</f>
        <v>654.300458942977</v>
      </c>
      <c r="AC26" s="36" t="n">
        <f aca="false">(Q25+R25)*Assumptions!$E$28*AA26</f>
        <v>9686.90758984498</v>
      </c>
      <c r="AD26" s="36" t="n">
        <f aca="false">M26*Assumptions!$E$29*AA26</f>
        <v>1487.79188431326</v>
      </c>
      <c r="AE26" s="36" t="n">
        <f aca="false">T25*Assumptions!$E$30*AA26</f>
        <v>1198.18632141509</v>
      </c>
      <c r="AF26" s="36" t="n">
        <f aca="false">U25*Assumptions!$E$31*AA26</f>
        <v>2762.4348702443</v>
      </c>
      <c r="AG26" s="36" t="n">
        <f aca="false">X26*Assumptions!$E$37*Assumptions!$E$38</f>
        <v>3395.79699920911</v>
      </c>
      <c r="AH26" s="36" t="n">
        <f aca="false">Z26*Assumptions!$E$44*Assumptions!$E$45</f>
        <v>1980.88158287198</v>
      </c>
      <c r="AI26" s="36" t="n">
        <f aca="false">SUM(AB26:AH26)</f>
        <v>21166.2997068417</v>
      </c>
      <c r="AJ26" s="36" t="n">
        <f aca="false">(S26*Assumptions!$E$28+T26*Assumptions!$E$30+U26*Assumptions!$E$31)*AA26+AG26+AH26</f>
        <v>19727.1069283522</v>
      </c>
      <c r="AK26" s="36" t="n">
        <f aca="false">(AI26-AH26)*Assumptions!$E$49</f>
        <v>671.48963433894</v>
      </c>
      <c r="AL26" s="36" t="n">
        <f aca="false">(AC26+AE26+AF26)*Assumptions!$E$50</f>
        <v>95.5327014705306</v>
      </c>
      <c r="AM26" s="36" t="n">
        <f aca="false">S26*Assumptions!$E$51+M26*Assumptions!$E$52</f>
        <v>165.151107831513</v>
      </c>
      <c r="AN26" s="36" t="n">
        <f aca="false">Assumptions!$E$53+Assumptions!$E$54*(S26+T26+U26)</f>
        <v>360.240541223573</v>
      </c>
      <c r="AO26" s="36" t="n">
        <f aca="false">IF(C26&gt;=2,Assumptions!$E$55,0)</f>
        <v>200</v>
      </c>
      <c r="AP26" s="33" t="n">
        <f aca="false">E26*Assumptions!$E$60/60+F26*Assumptions!$E$61+J26*Assumptions!$E$62+(S26+T26)*Assumptions!$E$63+X26*Assumptions!$E$64+Z26*Assumptions!$E$65+U26*Assumptions!$E$66+Assumptions!$E$67*52/12</f>
        <v>252.894651043542</v>
      </c>
      <c r="AQ26" s="33" t="n">
        <f aca="false">IF(BC25=1,Assumptions!$E$69,Assumptions!$E$68)*52/12</f>
        <v>130</v>
      </c>
      <c r="AR26" s="33" t="n">
        <f aca="false">MAX(0,AP26-AQ26)</f>
        <v>122.894651043542</v>
      </c>
      <c r="AS26" s="36" t="n">
        <f aca="false">AR26*Assumptions!$E$70*Assumptions!$E$71</f>
        <v>1179.78865001801</v>
      </c>
      <c r="AT26" s="36" t="n">
        <f aca="false">Assumptions!$E$56/12</f>
        <v>66.6666666666667</v>
      </c>
      <c r="AU26" s="36" t="n">
        <f aca="false">IF(A26=1,Assumptions!$E$57,0)+Assumptions!$E$58</f>
        <v>40</v>
      </c>
      <c r="AV26" s="36" t="n">
        <f aca="false">IF(AND(Y26&gt;0,Y26=A26),Assumptions!$E$46,0)+IF(Y26&gt;0,Assumptions!$E$47,0)</f>
        <v>50</v>
      </c>
      <c r="AW26" s="36" t="n">
        <f aca="false">AK26+AL26+AM26+AN26+AO26+AS26+AT26+AU26+AV26</f>
        <v>2828.86930154923</v>
      </c>
      <c r="AX26" s="36" t="n">
        <f aca="false">AI26-AW26</f>
        <v>18337.4304052925</v>
      </c>
      <c r="AY26" s="36" t="n">
        <f aca="false">MAX(0,AX26)*Assumptions!$E$73</f>
        <v>4584.35760132312</v>
      </c>
      <c r="AZ26" s="36" t="n">
        <f aca="false">AX26-AY26</f>
        <v>13753.0728039694</v>
      </c>
      <c r="BA26" s="36" t="n">
        <f aca="false">BA25+AZ26</f>
        <v>145130.206750924</v>
      </c>
      <c r="BB26" s="31" t="n">
        <f aca="false">IF(AZ26&gt;=Assumptions!$E$74/12,BB25+1,0)</f>
        <v>0</v>
      </c>
      <c r="BC26" s="31" t="n">
        <f aca="false">IF(OR(BC25=1,BB26&gt;=3),1,0)</f>
        <v>0</v>
      </c>
      <c r="BD26" s="31" t="n">
        <f aca="false">IF(AZ26&gt;=Assumptions!$E$75/12,BD25+1,0)</f>
        <v>8</v>
      </c>
      <c r="BE26" s="33" t="n">
        <f aca="false">AP26*12/52</f>
        <v>58.3603040869713</v>
      </c>
      <c r="BF26" s="33" t="n">
        <f aca="false">AR26*12/52</f>
        <v>28.3603040869713</v>
      </c>
      <c r="BG26" s="31" t="n">
        <f aca="false">IF(AX26&gt;0,A26,999)</f>
        <v>22</v>
      </c>
      <c r="BH26" s="31" t="n">
        <f aca="false">IF(BB26&gt;=3,A26,999)</f>
        <v>999</v>
      </c>
      <c r="BI26" s="31" t="n">
        <f aca="false">IF(BD26&gt;=3,A26,999)</f>
        <v>22</v>
      </c>
    </row>
    <row r="27" customFormat="false" ht="15" hidden="false" customHeight="false" outlineLevel="0" collapsed="false">
      <c r="A27" s="31" t="n">
        <v>23</v>
      </c>
      <c r="B27" s="32" t="n">
        <f aca="false">DATE(2026,10+A27,1)</f>
        <v>46997</v>
      </c>
      <c r="C27" s="31" t="n">
        <f aca="false">INT((A27-1)/12)+1</f>
        <v>2</v>
      </c>
      <c r="D27" s="31" t="n">
        <f aca="false">IF(C27=1,Assumptions!$E$7,IF(C27=2,Assumptions!$E$8,Assumptions!$E$9))</f>
        <v>25</v>
      </c>
      <c r="E27" s="31" t="n">
        <f aca="false">D27*Assumptions!$E$10</f>
        <v>550</v>
      </c>
      <c r="F27" s="33" t="n">
        <f aca="false">E27*Assumptions!$E$11</f>
        <v>55</v>
      </c>
      <c r="G27" s="34" t="n">
        <f aca="false">MIN(1,Assumptions!$E$13+(1-Assumptions!$E$13)*(A27-1)/Assumptions!$E$14)</f>
        <v>1</v>
      </c>
      <c r="H27" s="33" t="n">
        <f aca="false">F27*Assumptions!$E$12*G27</f>
        <v>8.25</v>
      </c>
      <c r="I27" s="33" t="n">
        <f aca="false">Assumptions!$E$15*(Q26+R26+T26+U26)</f>
        <v>1.8018040591768</v>
      </c>
      <c r="J27" s="33" t="n">
        <f aca="false">H27+I27</f>
        <v>10.0518040591768</v>
      </c>
      <c r="K27" s="33" t="n">
        <f aca="false">J27*Assumptions!$E$18</f>
        <v>0.50259020295884</v>
      </c>
      <c r="L27" s="33" t="n">
        <f aca="false">(J27-K27)*Assumptions!$E$17</f>
        <v>6.68444969935257</v>
      </c>
      <c r="M27" s="33" t="n">
        <f aca="false">J27-K27-L27</f>
        <v>2.86476415686539</v>
      </c>
      <c r="N27" s="33" t="n">
        <f aca="false">L27*Assumptions!$E$19</f>
        <v>0.334222484967628</v>
      </c>
      <c r="O27" s="33" t="n">
        <f aca="false">L27-N27</f>
        <v>6.35022721438494</v>
      </c>
      <c r="P27" s="33" t="n">
        <f aca="false">O15*(1-Assumptions!$E$20)^12</f>
        <v>4.35195000823343</v>
      </c>
      <c r="Q27" s="33" t="n">
        <f aca="false">Q26*(1-Assumptions!$E$20)+O27-P27</f>
        <v>69.5016089154768</v>
      </c>
      <c r="R27" s="33" t="n">
        <f aca="false">R26*(1-Assumptions!$E$22)+P27*(1-Assumptions!$E$21)</f>
        <v>33.3651875433809</v>
      </c>
      <c r="S27" s="33" t="n">
        <f aca="false">Q27+R27</f>
        <v>102.866796458858</v>
      </c>
      <c r="T27" s="33" t="n">
        <f aca="false">T26*(1-Assumptions!$E$24)+M27*Assumptions!$E$23</f>
        <v>15.8386589387468</v>
      </c>
      <c r="U27" s="33" t="n">
        <f aca="false">U26*(1-Assumptions!$E$25)+K27</f>
        <v>7.25645157515471</v>
      </c>
      <c r="V27" s="33" t="n">
        <f aca="false">V26+M27</f>
        <v>52.0433697770115</v>
      </c>
      <c r="W27" s="33" t="n">
        <f aca="false">N27+Q26*Assumptions!$E$20+P27*Assumptions!$E$21+R26*Assumptions!$E$22+T26*Assumptions!$E$24+U26*Assumptions!$E$25</f>
        <v>2.49130920408485</v>
      </c>
      <c r="X27" s="33" t="n">
        <f aca="false">IF(A27&lt;Assumptions!$E$34,0,Assumptions!$E$36*MIN(1,(A27-Assumptions!$E$34+1)/Assumptions!$E$35))*(S27+T27)</f>
        <v>35.6116366192813</v>
      </c>
      <c r="Y27" s="31" t="n">
        <f aca="false">IF(Y26&gt;0,Y26,IF(AND(A27&gt;=Assumptions!$E$41,Q26+R26+T26&gt;=Assumptions!$E$40),A27,0))</f>
        <v>9</v>
      </c>
      <c r="Z27" s="33" t="n">
        <f aca="false">IF(Y27&gt;0,Assumptions!$E$42*MIN(1,(A27-Y27+1)/Assumptions!$E$43),0)*(S27+T27)</f>
        <v>59.3527276988022</v>
      </c>
      <c r="AA27" s="35" t="n">
        <f aca="false">(1+Assumptions!$E$32)^(C27-1)</f>
        <v>1.05</v>
      </c>
      <c r="AB27" s="36" t="n">
        <f aca="false">O27*Assumptions!$E$27*AA27</f>
        <v>660.106118935315</v>
      </c>
      <c r="AC27" s="36" t="n">
        <f aca="false">(Q26+R26)*Assumptions!$E$28*AA27</f>
        <v>10191.8884547954</v>
      </c>
      <c r="AD27" s="36" t="n">
        <f aca="false">M27*Assumptions!$E$29*AA27</f>
        <v>1500.99317998962</v>
      </c>
      <c r="AE27" s="36" t="n">
        <f aca="false">T26*Assumptions!$E$30*AA27</f>
        <v>1256.45761262294</v>
      </c>
      <c r="AF27" s="36" t="n">
        <f aca="false">U26*Assumptions!$E$31*AA27</f>
        <v>2902.08227885278</v>
      </c>
      <c r="AG27" s="36" t="n">
        <f aca="false">X27*Assumptions!$E$37*Assumptions!$E$38</f>
        <v>3561.16366192813</v>
      </c>
      <c r="AH27" s="36" t="n">
        <f aca="false">Z27*Assumptions!$E$44*Assumptions!$E$45</f>
        <v>2077.34546945808</v>
      </c>
      <c r="AI27" s="36" t="n">
        <f aca="false">SUM(AB27:AH27)</f>
        <v>22150.0367765822</v>
      </c>
      <c r="AJ27" s="36" t="n">
        <f aca="false">(S27*Assumptions!$E$28+T27*Assumptions!$E$30+U27*Assumptions!$E$31)*AA27+AG27+AH27</f>
        <v>20685.4197696646</v>
      </c>
      <c r="AK27" s="36" t="n">
        <f aca="false">(AI27-AH27)*Assumptions!$E$49</f>
        <v>702.544195749345</v>
      </c>
      <c r="AL27" s="36" t="n">
        <f aca="false">(AC27+AE27+AF27)*Assumptions!$E$50</f>
        <v>100.452998423898</v>
      </c>
      <c r="AM27" s="36" t="n">
        <f aca="false">S27*Assumptions!$E$51+M27*Assumptions!$E$52</f>
        <v>171.554957926553</v>
      </c>
      <c r="AN27" s="36" t="n">
        <f aca="false">Assumptions!$E$53+Assumptions!$E$54*(S27+T27+U27)</f>
        <v>371.923813945518</v>
      </c>
      <c r="AO27" s="36" t="n">
        <f aca="false">IF(C27&gt;=2,Assumptions!$E$55,0)</f>
        <v>200</v>
      </c>
      <c r="AP27" s="33" t="n">
        <f aca="false">E27*Assumptions!$E$60/60+F27*Assumptions!$E$61+J27*Assumptions!$E$62+(S27+T27)*Assumptions!$E$63+X27*Assumptions!$E$64+Z27*Assumptions!$E$65+U27*Assumptions!$E$66+Assumptions!$E$67*52/12</f>
        <v>261.978025699698</v>
      </c>
      <c r="AQ27" s="33" t="n">
        <f aca="false">IF(BC26=1,Assumptions!$E$69,Assumptions!$E$68)*52/12</f>
        <v>130</v>
      </c>
      <c r="AR27" s="33" t="n">
        <f aca="false">MAX(0,AP27-AQ27)</f>
        <v>131.978025699698</v>
      </c>
      <c r="AS27" s="36" t="n">
        <f aca="false">AR27*Assumptions!$E$70*Assumptions!$E$71</f>
        <v>1266.9890467171</v>
      </c>
      <c r="AT27" s="36" t="n">
        <f aca="false">Assumptions!$E$56/12</f>
        <v>66.6666666666667</v>
      </c>
      <c r="AU27" s="36" t="n">
        <f aca="false">IF(A27=1,Assumptions!$E$57,0)+Assumptions!$E$58</f>
        <v>40</v>
      </c>
      <c r="AV27" s="36" t="n">
        <f aca="false">IF(AND(Y27&gt;0,Y27=A27),Assumptions!$E$46,0)+IF(Y27&gt;0,Assumptions!$E$47,0)</f>
        <v>50</v>
      </c>
      <c r="AW27" s="36" t="n">
        <f aca="false">AK27+AL27+AM27+AN27+AO27+AS27+AT27+AU27+AV27</f>
        <v>2970.13167942908</v>
      </c>
      <c r="AX27" s="36" t="n">
        <f aca="false">AI27-AW27</f>
        <v>19179.9050971531</v>
      </c>
      <c r="AY27" s="36" t="n">
        <f aca="false">MAX(0,AX27)*Assumptions!$E$73</f>
        <v>4794.97627428829</v>
      </c>
      <c r="AZ27" s="36" t="n">
        <f aca="false">AX27-AY27</f>
        <v>14384.9288228649</v>
      </c>
      <c r="BA27" s="36" t="n">
        <f aca="false">BA26+AZ27</f>
        <v>159515.135573789</v>
      </c>
      <c r="BB27" s="31" t="n">
        <f aca="false">IF(AZ27&gt;=Assumptions!$E$74/12,BB26+1,0)</f>
        <v>0</v>
      </c>
      <c r="BC27" s="31" t="n">
        <f aca="false">IF(OR(BC26=1,BB27&gt;=3),1,0)</f>
        <v>0</v>
      </c>
      <c r="BD27" s="31" t="n">
        <f aca="false">IF(AZ27&gt;=Assumptions!$E$75/12,BD26+1,0)</f>
        <v>9</v>
      </c>
      <c r="BE27" s="33" t="n">
        <f aca="false">AP27*12/52</f>
        <v>60.4564674691611</v>
      </c>
      <c r="BF27" s="33" t="n">
        <f aca="false">AR27*12/52</f>
        <v>30.4564674691611</v>
      </c>
      <c r="BG27" s="31" t="n">
        <f aca="false">IF(AX27&gt;0,A27,999)</f>
        <v>23</v>
      </c>
      <c r="BH27" s="31" t="n">
        <f aca="false">IF(BB27&gt;=3,A27,999)</f>
        <v>999</v>
      </c>
      <c r="BI27" s="31" t="n">
        <f aca="false">IF(BD27&gt;=3,A27,999)</f>
        <v>23</v>
      </c>
    </row>
    <row r="28" customFormat="false" ht="15" hidden="false" customHeight="false" outlineLevel="0" collapsed="false">
      <c r="A28" s="37" t="n">
        <v>24</v>
      </c>
      <c r="B28" s="38" t="n">
        <f aca="false">DATE(2026,10+A28,1)</f>
        <v>47027</v>
      </c>
      <c r="C28" s="37" t="n">
        <f aca="false">INT((A28-1)/12)+1</f>
        <v>2</v>
      </c>
      <c r="D28" s="37" t="n">
        <f aca="false">IF(C28=1,Assumptions!$E$7,IF(C28=2,Assumptions!$E$8,Assumptions!$E$9))</f>
        <v>25</v>
      </c>
      <c r="E28" s="37" t="n">
        <f aca="false">D28*Assumptions!$E$10</f>
        <v>550</v>
      </c>
      <c r="F28" s="39" t="n">
        <f aca="false">E28*Assumptions!$E$11</f>
        <v>55</v>
      </c>
      <c r="G28" s="40" t="n">
        <f aca="false">MIN(1,Assumptions!$E$13+(1-Assumptions!$E$13)*(A28-1)/Assumptions!$E$14)</f>
        <v>1</v>
      </c>
      <c r="H28" s="39" t="n">
        <f aca="false">F28*Assumptions!$E$12*G28</f>
        <v>8.25</v>
      </c>
      <c r="I28" s="39" t="n">
        <f aca="false">Assumptions!$E$15*(Q27+R27+T27+U27)</f>
        <v>1.88942860459139</v>
      </c>
      <c r="J28" s="39" t="n">
        <f aca="false">H28+I28</f>
        <v>10.1394286045914</v>
      </c>
      <c r="K28" s="39" t="n">
        <f aca="false">J28*Assumptions!$E$18</f>
        <v>0.506971430229569</v>
      </c>
      <c r="L28" s="39" t="n">
        <f aca="false">(J28-K28)*Assumptions!$E$17</f>
        <v>6.74272002205327</v>
      </c>
      <c r="M28" s="39" t="n">
        <f aca="false">J28-K28-L28</f>
        <v>2.88973715230855</v>
      </c>
      <c r="N28" s="39" t="n">
        <f aca="false">L28*Assumptions!$E$19</f>
        <v>0.337136001102664</v>
      </c>
      <c r="O28" s="39" t="n">
        <f aca="false">L28-N28</f>
        <v>6.40558402095061</v>
      </c>
      <c r="P28" s="39" t="n">
        <f aca="false">O16*(1-Assumptions!$E$20)^12</f>
        <v>4.39985682293116</v>
      </c>
      <c r="Q28" s="39" t="n">
        <f aca="false">Q27*(1-Assumptions!$E$20)+O28-P28</f>
        <v>71.1598280689189</v>
      </c>
      <c r="R28" s="39" t="n">
        <f aca="false">R27*(1-Assumptions!$E$22)+P28*(1-Assumptions!$E$21)</f>
        <v>36.4909289954344</v>
      </c>
      <c r="S28" s="39" t="n">
        <f aca="false">Q28+R28</f>
        <v>107.650757064353</v>
      </c>
      <c r="T28" s="39" t="n">
        <f aca="false">T27*(1-Assumptions!$E$24)+M28*Assumptions!$E$23</f>
        <v>16.5193940315078</v>
      </c>
      <c r="U28" s="39" t="n">
        <f aca="false">U27*(1-Assumptions!$E$25)+K28</f>
        <v>7.58201171600541</v>
      </c>
      <c r="V28" s="39" t="n">
        <f aca="false">V27+M28</f>
        <v>54.9331069293201</v>
      </c>
      <c r="W28" s="39" t="n">
        <f aca="false">N28+Q27*Assumptions!$E$20+P28*Assumptions!$E$21+R27*Assumptions!$E$22+T27*Assumptions!$E$24+U27*Assumptions!$E$25</f>
        <v>2.61533047409896</v>
      </c>
      <c r="X28" s="39" t="n">
        <f aca="false">IF(A28&lt;Assumptions!$E$34,0,Assumptions!$E$36*MIN(1,(A28-Assumptions!$E$34+1)/Assumptions!$E$35))*(S28+T28)</f>
        <v>37.2510453287583</v>
      </c>
      <c r="Y28" s="37" t="n">
        <f aca="false">IF(Y27&gt;0,Y27,IF(AND(A28&gt;=Assumptions!$E$41,Q27+R27+T27&gt;=Assumptions!$E$40),A28,0))</f>
        <v>9</v>
      </c>
      <c r="Z28" s="39" t="n">
        <f aca="false">IF(Y28&gt;0,Assumptions!$E$42*MIN(1,(A28-Y28+1)/Assumptions!$E$43),0)*(S28+T28)</f>
        <v>62.0850755479305</v>
      </c>
      <c r="AA28" s="41" t="n">
        <f aca="false">(1+Assumptions!$E$32)^(C28-1)</f>
        <v>1.05</v>
      </c>
      <c r="AB28" s="42" t="n">
        <f aca="false">O28*Assumptions!$E$27*AA28</f>
        <v>665.860458977816</v>
      </c>
      <c r="AC28" s="42" t="n">
        <f aca="false">(Q27+R27)*Assumptions!$E$28*AA28</f>
        <v>10693.0034918983</v>
      </c>
      <c r="AD28" s="42" t="n">
        <f aca="false">M28*Assumptions!$E$29*AA28</f>
        <v>1514.07778095206</v>
      </c>
      <c r="AE28" s="42" t="n">
        <f aca="false">T27*Assumptions!$E$30*AA28</f>
        <v>1313.81675896905</v>
      </c>
      <c r="AF28" s="42" t="n">
        <f aca="false">U27*Assumptions!$E$31*AA28</f>
        <v>3040.09038741106</v>
      </c>
      <c r="AG28" s="42" t="n">
        <f aca="false">X28*Assumptions!$E$37*Assumptions!$E$38</f>
        <v>3725.10453287583</v>
      </c>
      <c r="AH28" s="42" t="n">
        <f aca="false">Z28*Assumptions!$E$44*Assumptions!$E$45</f>
        <v>2172.97764417757</v>
      </c>
      <c r="AI28" s="42" t="n">
        <f aca="false">SUM(AB28:AH28)</f>
        <v>23124.9310552616</v>
      </c>
      <c r="AJ28" s="42" t="n">
        <f aca="false">(S28*Assumptions!$E$28+T28*Assumptions!$E$30+U28*Assumptions!$E$31)*AA28+AG28+AH28</f>
        <v>21635.145917227</v>
      </c>
      <c r="AK28" s="42" t="n">
        <f aca="false">(AI28-AH28)*Assumptions!$E$49</f>
        <v>733.318369387943</v>
      </c>
      <c r="AL28" s="42" t="n">
        <f aca="false">(AC28+AE28+AF28)*Assumptions!$E$50</f>
        <v>105.328374467949</v>
      </c>
      <c r="AM28" s="42" t="n">
        <f aca="false">S28*Assumptions!$E$51+M28*Assumptions!$E$52</f>
        <v>177.90950361507</v>
      </c>
      <c r="AN28" s="42" t="n">
        <f aca="false">Assumptions!$E$53+Assumptions!$E$54*(S28+T28+U28)</f>
        <v>383.504325623733</v>
      </c>
      <c r="AO28" s="42" t="n">
        <f aca="false">IF(C28&gt;=2,Assumptions!$E$55,0)</f>
        <v>200</v>
      </c>
      <c r="AP28" s="39" t="n">
        <f aca="false">E28*Assumptions!$E$60/60+F28*Assumptions!$E$61+J28*Assumptions!$E$62+(S28+T28)*Assumptions!$E$63+X28*Assumptions!$E$64+Z28*Assumptions!$E$65+U28*Assumptions!$E$66+Assumptions!$E$67*52/12</f>
        <v>270.977985022263</v>
      </c>
      <c r="AQ28" s="39" t="n">
        <f aca="false">IF(BC27=1,Assumptions!$E$69,Assumptions!$E$68)*52/12</f>
        <v>130</v>
      </c>
      <c r="AR28" s="39" t="n">
        <f aca="false">MAX(0,AP28-AQ28)</f>
        <v>140.977985022263</v>
      </c>
      <c r="AS28" s="42" t="n">
        <f aca="false">AR28*Assumptions!$E$70*Assumptions!$E$71</f>
        <v>1353.38865621373</v>
      </c>
      <c r="AT28" s="42" t="n">
        <f aca="false">Assumptions!$E$56/12</f>
        <v>66.6666666666667</v>
      </c>
      <c r="AU28" s="42" t="n">
        <f aca="false">IF(A28=1,Assumptions!$E$57,0)+Assumptions!$E$58</f>
        <v>40</v>
      </c>
      <c r="AV28" s="42" t="n">
        <f aca="false">IF(AND(Y28&gt;0,Y28=A28),Assumptions!$E$46,0)+IF(Y28&gt;0,Assumptions!$E$47,0)</f>
        <v>50</v>
      </c>
      <c r="AW28" s="42" t="n">
        <f aca="false">AK28+AL28+AM28+AN28+AO28+AS28+AT28+AU28+AV28</f>
        <v>3110.11589597509</v>
      </c>
      <c r="AX28" s="42" t="n">
        <f aca="false">AI28-AW28</f>
        <v>20014.8151592866</v>
      </c>
      <c r="AY28" s="42" t="n">
        <f aca="false">MAX(0,AX28)*Assumptions!$E$73</f>
        <v>5003.70378982164</v>
      </c>
      <c r="AZ28" s="42" t="n">
        <f aca="false">AX28-AY28</f>
        <v>15011.1113694649</v>
      </c>
      <c r="BA28" s="42" t="n">
        <f aca="false">BA27+AZ28</f>
        <v>174526.246943254</v>
      </c>
      <c r="BB28" s="37" t="n">
        <f aca="false">IF(AZ28&gt;=Assumptions!$E$74/12,BB27+1,0)</f>
        <v>0</v>
      </c>
      <c r="BC28" s="37" t="n">
        <f aca="false">IF(OR(BC27=1,BB28&gt;=3),1,0)</f>
        <v>0</v>
      </c>
      <c r="BD28" s="37" t="n">
        <f aca="false">IF(AZ28&gt;=Assumptions!$E$75/12,BD27+1,0)</f>
        <v>10</v>
      </c>
      <c r="BE28" s="39" t="n">
        <f aca="false">AP28*12/52</f>
        <v>62.5333811589839</v>
      </c>
      <c r="BF28" s="39" t="n">
        <f aca="false">AR28*12/52</f>
        <v>32.5333811589839</v>
      </c>
      <c r="BG28" s="37" t="n">
        <f aca="false">IF(AX28&gt;0,A28,999)</f>
        <v>24</v>
      </c>
      <c r="BH28" s="37" t="n">
        <f aca="false">IF(BB28&gt;=3,A28,999)</f>
        <v>999</v>
      </c>
      <c r="BI28" s="37" t="n">
        <f aca="false">IF(BD28&gt;=3,A28,999)</f>
        <v>24</v>
      </c>
    </row>
    <row r="29" customFormat="false" ht="15" hidden="false" customHeight="false" outlineLevel="0" collapsed="false">
      <c r="A29" s="31" t="n">
        <v>25</v>
      </c>
      <c r="B29" s="32" t="n">
        <f aca="false">DATE(2026,10+A29,1)</f>
        <v>47058</v>
      </c>
      <c r="C29" s="31" t="n">
        <f aca="false">INT((A29-1)/12)+1</f>
        <v>3</v>
      </c>
      <c r="D29" s="31" t="n">
        <f aca="false">IF(C29=1,Assumptions!$E$7,IF(C29=2,Assumptions!$E$8,Assumptions!$E$9))</f>
        <v>30</v>
      </c>
      <c r="E29" s="31" t="n">
        <f aca="false">D29*Assumptions!$E$10</f>
        <v>660</v>
      </c>
      <c r="F29" s="33" t="n">
        <f aca="false">E29*Assumptions!$E$11</f>
        <v>66</v>
      </c>
      <c r="G29" s="34" t="n">
        <f aca="false">MIN(1,Assumptions!$E$13+(1-Assumptions!$E$13)*(A29-1)/Assumptions!$E$14)</f>
        <v>1</v>
      </c>
      <c r="H29" s="33" t="n">
        <f aca="false">F29*Assumptions!$E$12*G29</f>
        <v>9.9</v>
      </c>
      <c r="I29" s="33" t="n">
        <f aca="false">Assumptions!$E$15*(Q28+R28+T28+U28)</f>
        <v>1.976282442178</v>
      </c>
      <c r="J29" s="33" t="n">
        <f aca="false">H29+I29</f>
        <v>11.876282442178</v>
      </c>
      <c r="K29" s="33" t="n">
        <f aca="false">J29*Assumptions!$E$18</f>
        <v>0.5938141221089</v>
      </c>
      <c r="L29" s="33" t="n">
        <f aca="false">(J29-K29)*Assumptions!$E$17</f>
        <v>7.89772782404837</v>
      </c>
      <c r="M29" s="33" t="n">
        <f aca="false">J29-K29-L29</f>
        <v>3.38474049602073</v>
      </c>
      <c r="N29" s="33" t="n">
        <f aca="false">L29*Assumptions!$E$19</f>
        <v>0.394886391202418</v>
      </c>
      <c r="O29" s="33" t="n">
        <f aca="false">L29-N29</f>
        <v>7.50284143284595</v>
      </c>
      <c r="P29" s="33" t="n">
        <f aca="false">O17*(1-Assumptions!$E$20)^12</f>
        <v>5.42943523630437</v>
      </c>
      <c r="Q29" s="33" t="n">
        <f aca="false">Q28*(1-Assumptions!$E$20)+O29-P29</f>
        <v>72.8774351251159</v>
      </c>
      <c r="R29" s="33" t="n">
        <f aca="false">R28*(1-Assumptions!$E$22)+P29*(1-Assumptions!$E$21)</f>
        <v>40.4651474832225</v>
      </c>
      <c r="S29" s="33" t="n">
        <f aca="false">Q29+R29</f>
        <v>113.342582608338</v>
      </c>
      <c r="T29" s="33" t="n">
        <f aca="false">T28*(1-Assumptions!$E$24)+M29*Assumptions!$E$23</f>
        <v>17.3777084089708</v>
      </c>
      <c r="U29" s="33" t="n">
        <f aca="false">U28*(1-Assumptions!$E$25)+K29</f>
        <v>7.98627554521417</v>
      </c>
      <c r="V29" s="33" t="n">
        <f aca="false">V28+M29</f>
        <v>58.3178474253408</v>
      </c>
      <c r="W29" s="33" t="n">
        <f aca="false">N29+Q28*Assumptions!$E$20+P29*Assumptions!$E$21+R28*Assumptions!$E$22+T28*Assumptions!$E$24+U28*Assumptions!$E$25</f>
        <v>2.89103439390868</v>
      </c>
      <c r="X29" s="33" t="n">
        <f aca="false">IF(A29&lt;Assumptions!$E$34,0,Assumptions!$E$36*MIN(1,(A29-Assumptions!$E$34+1)/Assumptions!$E$35))*(S29+T29)</f>
        <v>39.2160873051928</v>
      </c>
      <c r="Y29" s="31" t="n">
        <f aca="false">IF(Y28&gt;0,Y28,IF(AND(A29&gt;=Assumptions!$E$41,Q28+R28+T28&gt;=Assumptions!$E$40),A29,0))</f>
        <v>9</v>
      </c>
      <c r="Z29" s="33" t="n">
        <f aca="false">IF(Y29&gt;0,Assumptions!$E$42*MIN(1,(A29-Y29+1)/Assumptions!$E$43),0)*(S29+T29)</f>
        <v>65.3601455086546</v>
      </c>
      <c r="AA29" s="35" t="n">
        <f aca="false">(1+Assumptions!$E$32)^(C29-1)</f>
        <v>1.1025</v>
      </c>
      <c r="AB29" s="36" t="n">
        <f aca="false">O29*Assumptions!$E$27*AA29</f>
        <v>818.916385291553</v>
      </c>
      <c r="AC29" s="36" t="n">
        <f aca="false">(Q28+R28)*Assumptions!$E$28*AA29</f>
        <v>11749.8110066815</v>
      </c>
      <c r="AD29" s="36" t="n">
        <f aca="false">M29*Assumptions!$E$29*AA29</f>
        <v>1862.10652203456</v>
      </c>
      <c r="AE29" s="36" t="n">
        <f aca="false">T28*Assumptions!$E$30*AA29</f>
        <v>1438.79792165925</v>
      </c>
      <c r="AF29" s="36" t="n">
        <f aca="false">U28*Assumptions!$E$31*AA29</f>
        <v>3335.30799884149</v>
      </c>
      <c r="AG29" s="36" t="n">
        <f aca="false">X29*Assumptions!$E$37*Assumptions!$E$38</f>
        <v>3921.60873051928</v>
      </c>
      <c r="AH29" s="36" t="n">
        <f aca="false">Z29*Assumptions!$E$44*Assumptions!$E$45</f>
        <v>2287.60509280291</v>
      </c>
      <c r="AI29" s="36" t="n">
        <f aca="false">SUM(AB29:AH29)</f>
        <v>25414.1536578305</v>
      </c>
      <c r="AJ29" s="36" t="n">
        <f aca="false">(S29*Assumptions!$E$28+T29*Assumptions!$E$30+U29*Assumptions!$E$31)*AA29+AG29+AH29</f>
        <v>23606.970963367</v>
      </c>
      <c r="AK29" s="36" t="n">
        <f aca="false">(AI29-AH29)*Assumptions!$E$49</f>
        <v>809.429199775967</v>
      </c>
      <c r="AL29" s="36" t="n">
        <f aca="false">(AC29+AE29+AF29)*Assumptions!$E$50</f>
        <v>115.667418490276</v>
      </c>
      <c r="AM29" s="36" t="n">
        <f aca="false">S29*Assumptions!$E$51+M29*Assumptions!$E$52</f>
        <v>192.449335700734</v>
      </c>
      <c r="AN29" s="36" t="n">
        <f aca="false">Assumptions!$E$53+Assumptions!$E$54*(S29+T29+U29)</f>
        <v>397.413133125047</v>
      </c>
      <c r="AO29" s="36" t="n">
        <f aca="false">IF(C29&gt;=2,Assumptions!$E$55,0)</f>
        <v>200</v>
      </c>
      <c r="AP29" s="33" t="n">
        <f aca="false">E29*Assumptions!$E$60/60+F29*Assumptions!$E$61+J29*Assumptions!$E$62+(S29+T29)*Assumptions!$E$63+X29*Assumptions!$E$64+Z29*Assumptions!$E$65+U29*Assumptions!$E$66+Assumptions!$E$67*52/12</f>
        <v>292.350186987273</v>
      </c>
      <c r="AQ29" s="33" t="n">
        <f aca="false">IF(BC28=1,Assumptions!$E$69,Assumptions!$E$68)*52/12</f>
        <v>130</v>
      </c>
      <c r="AR29" s="33" t="n">
        <f aca="false">MAX(0,AP29-AQ29)</f>
        <v>162.350186987273</v>
      </c>
      <c r="AS29" s="36" t="n">
        <f aca="false">AR29*Assumptions!$E$70*Assumptions!$E$71</f>
        <v>1558.56179507782</v>
      </c>
      <c r="AT29" s="36" t="n">
        <f aca="false">Assumptions!$E$56/12</f>
        <v>66.6666666666667</v>
      </c>
      <c r="AU29" s="36" t="n">
        <f aca="false">IF(A29=1,Assumptions!$E$57,0)+Assumptions!$E$58</f>
        <v>40</v>
      </c>
      <c r="AV29" s="36" t="n">
        <f aca="false">IF(AND(Y29&gt;0,Y29=A29),Assumptions!$E$46,0)+IF(Y29&gt;0,Assumptions!$E$47,0)</f>
        <v>50</v>
      </c>
      <c r="AW29" s="36" t="n">
        <f aca="false">AK29+AL29+AM29+AN29+AO29+AS29+AT29+AU29+AV29</f>
        <v>3430.18754883651</v>
      </c>
      <c r="AX29" s="36" t="n">
        <f aca="false">AI29-AW29</f>
        <v>21983.966108994</v>
      </c>
      <c r="AY29" s="36" t="n">
        <f aca="false">MAX(0,AX29)*Assumptions!$E$73</f>
        <v>5495.99152724851</v>
      </c>
      <c r="AZ29" s="36" t="n">
        <f aca="false">AX29-AY29</f>
        <v>16487.9745817455</v>
      </c>
      <c r="BA29" s="36" t="n">
        <f aca="false">BA28+AZ29</f>
        <v>191014.221524999</v>
      </c>
      <c r="BB29" s="31" t="n">
        <f aca="false">IF(AZ29&gt;=Assumptions!$E$74/12,BB28+1,0)</f>
        <v>0</v>
      </c>
      <c r="BC29" s="31" t="n">
        <f aca="false">IF(OR(BC28=1,BB29&gt;=3),1,0)</f>
        <v>0</v>
      </c>
      <c r="BD29" s="31" t="n">
        <f aca="false">IF(AZ29&gt;=Assumptions!$E$75/12,BD28+1,0)</f>
        <v>11</v>
      </c>
      <c r="BE29" s="33" t="n">
        <f aca="false">AP29*12/52</f>
        <v>67.4654277662937</v>
      </c>
      <c r="BF29" s="33" t="n">
        <f aca="false">AR29*12/52</f>
        <v>37.4654277662937</v>
      </c>
      <c r="BG29" s="31" t="n">
        <f aca="false">IF(AX29&gt;0,A29,999)</f>
        <v>25</v>
      </c>
      <c r="BH29" s="31" t="n">
        <f aca="false">IF(BB29&gt;=3,A29,999)</f>
        <v>999</v>
      </c>
      <c r="BI29" s="31" t="n">
        <f aca="false">IF(BD29&gt;=3,A29,999)</f>
        <v>25</v>
      </c>
    </row>
    <row r="30" customFormat="false" ht="15" hidden="false" customHeight="false" outlineLevel="0" collapsed="false">
      <c r="A30" s="31" t="n">
        <v>26</v>
      </c>
      <c r="B30" s="32" t="n">
        <f aca="false">DATE(2026,10+A30,1)</f>
        <v>47088</v>
      </c>
      <c r="C30" s="31" t="n">
        <f aca="false">INT((A30-1)/12)+1</f>
        <v>3</v>
      </c>
      <c r="D30" s="31" t="n">
        <f aca="false">IF(C30=1,Assumptions!$E$7,IF(C30=2,Assumptions!$E$8,Assumptions!$E$9))</f>
        <v>30</v>
      </c>
      <c r="E30" s="31" t="n">
        <f aca="false">D30*Assumptions!$E$10</f>
        <v>660</v>
      </c>
      <c r="F30" s="33" t="n">
        <f aca="false">E30*Assumptions!$E$11</f>
        <v>66</v>
      </c>
      <c r="G30" s="34" t="n">
        <f aca="false">MIN(1,Assumptions!$E$13+(1-Assumptions!$E$13)*(A30-1)/Assumptions!$E$14)</f>
        <v>1</v>
      </c>
      <c r="H30" s="33" t="n">
        <f aca="false">F30*Assumptions!$E$12*G30</f>
        <v>9.9</v>
      </c>
      <c r="I30" s="33" t="n">
        <f aca="false">Assumptions!$E$15*(Q29+R29+T29+U29)</f>
        <v>2.08059849843785</v>
      </c>
      <c r="J30" s="33" t="n">
        <f aca="false">H30+I30</f>
        <v>11.9805984984379</v>
      </c>
      <c r="K30" s="33" t="n">
        <f aca="false">J30*Assumptions!$E$18</f>
        <v>0.599029924921893</v>
      </c>
      <c r="L30" s="33" t="n">
        <f aca="false">(J30-K30)*Assumptions!$E$17</f>
        <v>7.96709800146117</v>
      </c>
      <c r="M30" s="33" t="n">
        <f aca="false">J30-K30-L30</f>
        <v>3.41447057205479</v>
      </c>
      <c r="N30" s="33" t="n">
        <f aca="false">L30*Assumptions!$E$19</f>
        <v>0.398354900073059</v>
      </c>
      <c r="O30" s="33" t="n">
        <f aca="false">L30-N30</f>
        <v>7.56874310138811</v>
      </c>
      <c r="P30" s="33" t="n">
        <f aca="false">O18*(1-Assumptions!$E$20)^12</f>
        <v>5.48723123482595</v>
      </c>
      <c r="Q30" s="33" t="n">
        <f aca="false">Q29*(1-Assumptions!$E$20)+O30-P30</f>
        <v>74.5945598160524</v>
      </c>
      <c r="R30" s="33" t="n">
        <f aca="false">R29*(1-Assumptions!$E$22)+P30*(1-Assumptions!$E$21)</f>
        <v>44.3920269074853</v>
      </c>
      <c r="S30" s="33" t="n">
        <f aca="false">Q30+R30</f>
        <v>118.986586723538</v>
      </c>
      <c r="T30" s="33" t="n">
        <f aca="false">T29*(1-Assumptions!$E$24)+M30*Assumptions!$E$23</f>
        <v>18.2221653855236</v>
      </c>
      <c r="U30" s="33" t="n">
        <f aca="false">U29*(1-Assumptions!$E$25)+K30</f>
        <v>8.38564858150571</v>
      </c>
      <c r="V30" s="33" t="n">
        <f aca="false">V29+M30</f>
        <v>61.7323179973956</v>
      </c>
      <c r="W30" s="33" t="n">
        <f aca="false">N30+Q29*Assumptions!$E$20+P30*Assumptions!$E$21+R29*Assumptions!$E$22+T29*Assumptions!$E$24+U29*Assumptions!$E$25</f>
        <v>3.04408202716127</v>
      </c>
      <c r="X30" s="33" t="n">
        <f aca="false">IF(A30&lt;Assumptions!$E$34,0,Assumptions!$E$36*MIN(1,(A30-Assumptions!$E$34+1)/Assumptions!$E$35))*(S30+T30)</f>
        <v>41.1626256327184</v>
      </c>
      <c r="Y30" s="31" t="n">
        <f aca="false">IF(Y29&gt;0,Y29,IF(AND(A30&gt;=Assumptions!$E$41,Q29+R29+T29&gt;=Assumptions!$E$40),A30,0))</f>
        <v>9</v>
      </c>
      <c r="Z30" s="33" t="n">
        <f aca="false">IF(Y30&gt;0,Assumptions!$E$42*MIN(1,(A30-Y30+1)/Assumptions!$E$43),0)*(S30+T30)</f>
        <v>68.6043760545307</v>
      </c>
      <c r="AA30" s="35" t="n">
        <f aca="false">(1+Assumptions!$E$32)^(C30-1)</f>
        <v>1.1025</v>
      </c>
      <c r="AB30" s="36" t="n">
        <f aca="false">O30*Assumptions!$E$27*AA30</f>
        <v>826.109387658759</v>
      </c>
      <c r="AC30" s="36" t="n">
        <f aca="false">(Q29+R29)*Assumptions!$E$28*AA30</f>
        <v>12371.0595352436</v>
      </c>
      <c r="AD30" s="36" t="n">
        <f aca="false">M30*Assumptions!$E$29*AA30</f>
        <v>1878.46244903951</v>
      </c>
      <c r="AE30" s="36" t="n">
        <f aca="false">T29*Assumptions!$E$30*AA30</f>
        <v>1513.55495815034</v>
      </c>
      <c r="AF30" s="36" t="n">
        <f aca="false">U29*Assumptions!$E$31*AA30</f>
        <v>3513.14264665085</v>
      </c>
      <c r="AG30" s="36" t="n">
        <f aca="false">X30*Assumptions!$E$37*Assumptions!$E$38</f>
        <v>4116.26256327184</v>
      </c>
      <c r="AH30" s="36" t="n">
        <f aca="false">Z30*Assumptions!$E$44*Assumptions!$E$45</f>
        <v>2401.15316190857</v>
      </c>
      <c r="AI30" s="36" t="n">
        <f aca="false">SUM(AB30:AH30)</f>
        <v>26619.7447019235</v>
      </c>
      <c r="AJ30" s="36" t="n">
        <f aca="false">(S30*Assumptions!$E$28+T30*Assumptions!$E$30+U30*Assumptions!$E$31)*AA30+AG30+AH30</f>
        <v>24780.4350961363</v>
      </c>
      <c r="AK30" s="36" t="n">
        <f aca="false">(AI30-AH30)*Assumptions!$E$49</f>
        <v>847.650703900522</v>
      </c>
      <c r="AL30" s="36" t="n">
        <f aca="false">(AC30+AE30+AF30)*Assumptions!$E$50</f>
        <v>121.784299980314</v>
      </c>
      <c r="AM30" s="36" t="n">
        <f aca="false">S30*Assumptions!$E$51+M30*Assumptions!$E$52</f>
        <v>199.950291985244</v>
      </c>
      <c r="AN30" s="36" t="n">
        <f aca="false">Assumptions!$E$53+Assumptions!$E$54*(S30+T30+U30)</f>
        <v>411.188801381134</v>
      </c>
      <c r="AO30" s="36" t="n">
        <f aca="false">IF(C30&gt;=2,Assumptions!$E$55,0)</f>
        <v>200</v>
      </c>
      <c r="AP30" s="33" t="n">
        <f aca="false">E30*Assumptions!$E$60/60+F30*Assumptions!$E$61+J30*Assumptions!$E$62+(S30+T30)*Assumptions!$E$63+X30*Assumptions!$E$64+Z30*Assumptions!$E$65+U30*Assumptions!$E$66+Assumptions!$E$67*52/12</f>
        <v>303.100737199692</v>
      </c>
      <c r="AQ30" s="33" t="n">
        <f aca="false">IF(BC29=1,Assumptions!$E$69,Assumptions!$E$68)*52/12</f>
        <v>130</v>
      </c>
      <c r="AR30" s="33" t="n">
        <f aca="false">MAX(0,AP30-AQ30)</f>
        <v>173.100737199692</v>
      </c>
      <c r="AS30" s="36" t="n">
        <f aca="false">AR30*Assumptions!$E$70*Assumptions!$E$71</f>
        <v>1661.76707711704</v>
      </c>
      <c r="AT30" s="36" t="n">
        <f aca="false">Assumptions!$E$56/12</f>
        <v>66.6666666666667</v>
      </c>
      <c r="AU30" s="36" t="n">
        <f aca="false">IF(A30=1,Assumptions!$E$57,0)+Assumptions!$E$58</f>
        <v>40</v>
      </c>
      <c r="AV30" s="36" t="n">
        <f aca="false">IF(AND(Y30&gt;0,Y30=A30),Assumptions!$E$46,0)+IF(Y30&gt;0,Assumptions!$E$47,0)</f>
        <v>50</v>
      </c>
      <c r="AW30" s="36" t="n">
        <f aca="false">AK30+AL30+AM30+AN30+AO30+AS30+AT30+AU30+AV30</f>
        <v>3599.00784103092</v>
      </c>
      <c r="AX30" s="36" t="n">
        <f aca="false">AI30-AW30</f>
        <v>23020.7368608926</v>
      </c>
      <c r="AY30" s="36" t="n">
        <f aca="false">MAX(0,AX30)*Assumptions!$E$73</f>
        <v>5755.18421522314</v>
      </c>
      <c r="AZ30" s="36" t="n">
        <f aca="false">AX30-AY30</f>
        <v>17265.5526456694</v>
      </c>
      <c r="BA30" s="36" t="n">
        <f aca="false">BA29+AZ30</f>
        <v>208279.774170669</v>
      </c>
      <c r="BB30" s="31" t="n">
        <f aca="false">IF(AZ30&gt;=Assumptions!$E$74/12,BB29+1,0)</f>
        <v>1</v>
      </c>
      <c r="BC30" s="31" t="n">
        <f aca="false">IF(OR(BC29=1,BB30&gt;=3),1,0)</f>
        <v>0</v>
      </c>
      <c r="BD30" s="31" t="n">
        <f aca="false">IF(AZ30&gt;=Assumptions!$E$75/12,BD29+1,0)</f>
        <v>12</v>
      </c>
      <c r="BE30" s="33" t="n">
        <f aca="false">AP30*12/52</f>
        <v>69.9463239691596</v>
      </c>
      <c r="BF30" s="33" t="n">
        <f aca="false">AR30*12/52</f>
        <v>39.9463239691596</v>
      </c>
      <c r="BG30" s="31" t="n">
        <f aca="false">IF(AX30&gt;0,A30,999)</f>
        <v>26</v>
      </c>
      <c r="BH30" s="31" t="n">
        <f aca="false">IF(BB30&gt;=3,A30,999)</f>
        <v>999</v>
      </c>
      <c r="BI30" s="31" t="n">
        <f aca="false">IF(BD30&gt;=3,A30,999)</f>
        <v>26</v>
      </c>
    </row>
    <row r="31" customFormat="false" ht="15" hidden="false" customHeight="false" outlineLevel="0" collapsed="false">
      <c r="A31" s="31" t="n">
        <v>27</v>
      </c>
      <c r="B31" s="32" t="n">
        <f aca="false">DATE(2026,10+A31,1)</f>
        <v>47119</v>
      </c>
      <c r="C31" s="31" t="n">
        <f aca="false">INT((A31-1)/12)+1</f>
        <v>3</v>
      </c>
      <c r="D31" s="31" t="n">
        <f aca="false">IF(C31=1,Assumptions!$E$7,IF(C31=2,Assumptions!$E$8,Assumptions!$E$9))</f>
        <v>30</v>
      </c>
      <c r="E31" s="31" t="n">
        <f aca="false">D31*Assumptions!$E$10</f>
        <v>660</v>
      </c>
      <c r="F31" s="33" t="n">
        <f aca="false">E31*Assumptions!$E$11</f>
        <v>66</v>
      </c>
      <c r="G31" s="34" t="n">
        <f aca="false">MIN(1,Assumptions!$E$13+(1-Assumptions!$E$13)*(A31-1)/Assumptions!$E$14)</f>
        <v>1</v>
      </c>
      <c r="H31" s="33" t="n">
        <f aca="false">F31*Assumptions!$E$12*G31</f>
        <v>9.9</v>
      </c>
      <c r="I31" s="33" t="n">
        <f aca="false">Assumptions!$E$15*(Q30+R30+T30+U30)</f>
        <v>2.18391601035851</v>
      </c>
      <c r="J31" s="33" t="n">
        <f aca="false">H31+I31</f>
        <v>12.0839160103585</v>
      </c>
      <c r="K31" s="33" t="n">
        <f aca="false">J31*Assumptions!$E$18</f>
        <v>0.604195800517925</v>
      </c>
      <c r="L31" s="33" t="n">
        <f aca="false">(J31-K31)*Assumptions!$E$17</f>
        <v>8.03580414688841</v>
      </c>
      <c r="M31" s="33" t="n">
        <f aca="false">J31-K31-L31</f>
        <v>3.44391606295218</v>
      </c>
      <c r="N31" s="33" t="n">
        <f aca="false">L31*Assumptions!$E$19</f>
        <v>0.40179020734442</v>
      </c>
      <c r="O31" s="33" t="n">
        <f aca="false">L31-N31</f>
        <v>7.63401393954399</v>
      </c>
      <c r="P31" s="33" t="n">
        <f aca="false">O19*(1-Assumptions!$E$20)^12</f>
        <v>5.5444267596851</v>
      </c>
      <c r="Q31" s="33" t="n">
        <f aca="false">Q30*(1-Assumptions!$E$20)+O31-P31</f>
        <v>76.3111741968311</v>
      </c>
      <c r="R31" s="33" t="n">
        <f aca="false">R30*(1-Assumptions!$E$22)+P31*(1-Assumptions!$E$21)</f>
        <v>48.2722103185147</v>
      </c>
      <c r="S31" s="33" t="n">
        <f aca="false">Q31+R31</f>
        <v>124.583384515346</v>
      </c>
      <c r="T31" s="33" t="n">
        <f aca="false">T30*(1-Assumptions!$E$24)+M31*Assumptions!$E$23</f>
        <v>19.0530668491388</v>
      </c>
      <c r="U31" s="33" t="n">
        <f aca="false">U30*(1-Assumptions!$E$25)+K31</f>
        <v>8.78020316748599</v>
      </c>
      <c r="V31" s="33" t="n">
        <f aca="false">V30+M31</f>
        <v>65.1762340603478</v>
      </c>
      <c r="W31" s="33" t="n">
        <f aca="false">N31+Q30*Assumptions!$E$20+P31*Assumptions!$E$21+R30*Assumptions!$E$22+T30*Assumptions!$E$24+U30*Assumptions!$E$25</f>
        <v>3.19531253118368</v>
      </c>
      <c r="X31" s="33" t="n">
        <f aca="false">IF(A31&lt;Assumptions!$E$34,0,Assumptions!$E$36*MIN(1,(A31-Assumptions!$E$34+1)/Assumptions!$E$35))*(S31+T31)</f>
        <v>43.0909354093454</v>
      </c>
      <c r="Y31" s="31" t="n">
        <f aca="false">IF(Y30&gt;0,Y30,IF(AND(A31&gt;=Assumptions!$E$41,Q30+R30+T30&gt;=Assumptions!$E$40),A31,0))</f>
        <v>9</v>
      </c>
      <c r="Z31" s="33" t="n">
        <f aca="false">IF(Y31&gt;0,Assumptions!$E$42*MIN(1,(A31-Y31+1)/Assumptions!$E$43),0)*(S31+T31)</f>
        <v>71.8182256822423</v>
      </c>
      <c r="AA31" s="35" t="n">
        <f aca="false">(1+Assumptions!$E$32)^(C31-1)</f>
        <v>1.1025</v>
      </c>
      <c r="AB31" s="36" t="n">
        <f aca="false">O31*Assumptions!$E$27*AA31</f>
        <v>833.233536466377</v>
      </c>
      <c r="AC31" s="36" t="n">
        <f aca="false">(Q30+R30)*Assumptions!$E$28*AA31</f>
        <v>12987.0884744073</v>
      </c>
      <c r="AD31" s="36" t="n">
        <f aca="false">M31*Assumptions!$E$29*AA31</f>
        <v>1894.66181224298</v>
      </c>
      <c r="AE31" s="36" t="n">
        <f aca="false">T30*Assumptions!$E$30*AA31</f>
        <v>1587.10504966565</v>
      </c>
      <c r="AF31" s="36" t="n">
        <f aca="false">U30*Assumptions!$E$31*AA31</f>
        <v>3688.82584688291</v>
      </c>
      <c r="AG31" s="36" t="n">
        <f aca="false">X31*Assumptions!$E$37*Assumptions!$E$38</f>
        <v>4309.09354093454</v>
      </c>
      <c r="AH31" s="36" t="n">
        <f aca="false">Z31*Assumptions!$E$44*Assumptions!$E$45</f>
        <v>2513.63789887848</v>
      </c>
      <c r="AI31" s="36" t="n">
        <f aca="false">SUM(AB31:AH31)</f>
        <v>27813.6461594783</v>
      </c>
      <c r="AJ31" s="36" t="n">
        <f aca="false">(S31*Assumptions!$E$28+T31*Assumptions!$E$30+U31*Assumptions!$E$31)*AA31+AG31+AH31</f>
        <v>25942.5603139638</v>
      </c>
      <c r="AK31" s="36" t="n">
        <f aca="false">(AI31-AH31)*Assumptions!$E$49</f>
        <v>885.500289120992</v>
      </c>
      <c r="AL31" s="36" t="n">
        <f aca="false">(AC31+AE31+AF31)*Assumptions!$E$50</f>
        <v>127.841135596691</v>
      </c>
      <c r="AM31" s="36" t="n">
        <f aca="false">S31*Assumptions!$E$51+M31*Assumptions!$E$52</f>
        <v>207.387971588465</v>
      </c>
      <c r="AN31" s="36" t="n">
        <f aca="false">Assumptions!$E$53+Assumptions!$E$54*(S31+T31+U31)</f>
        <v>424.833309063941</v>
      </c>
      <c r="AO31" s="36" t="n">
        <f aca="false">IF(C31&gt;=2,Assumptions!$E$55,0)</f>
        <v>200</v>
      </c>
      <c r="AP31" s="33" t="n">
        <f aca="false">E31*Assumptions!$E$60/60+F31*Assumptions!$E$61+J31*Assumptions!$E$62+(S31+T31)*Assumptions!$E$63+X31*Assumptions!$E$64+Z31*Assumptions!$E$65+U31*Assumptions!$E$66+Assumptions!$E$67*52/12</f>
        <v>313.74518791091</v>
      </c>
      <c r="AQ31" s="33" t="n">
        <f aca="false">IF(BC30=1,Assumptions!$E$69,Assumptions!$E$68)*52/12</f>
        <v>130</v>
      </c>
      <c r="AR31" s="33" t="n">
        <f aca="false">MAX(0,AP31-AQ31)</f>
        <v>183.74518791091</v>
      </c>
      <c r="AS31" s="36" t="n">
        <f aca="false">AR31*Assumptions!$E$70*Assumptions!$E$71</f>
        <v>1763.95380394473</v>
      </c>
      <c r="AT31" s="36" t="n">
        <f aca="false">Assumptions!$E$56/12</f>
        <v>66.6666666666667</v>
      </c>
      <c r="AU31" s="36" t="n">
        <f aca="false">IF(A31=1,Assumptions!$E$57,0)+Assumptions!$E$58</f>
        <v>40</v>
      </c>
      <c r="AV31" s="36" t="n">
        <f aca="false">IF(AND(Y31&gt;0,Y31=A31),Assumptions!$E$46,0)+IF(Y31&gt;0,Assumptions!$E$47,0)</f>
        <v>50</v>
      </c>
      <c r="AW31" s="36" t="n">
        <f aca="false">AK31+AL31+AM31+AN31+AO31+AS31+AT31+AU31+AV31</f>
        <v>3766.18317598149</v>
      </c>
      <c r="AX31" s="36" t="n">
        <f aca="false">AI31-AW31</f>
        <v>24047.4629834968</v>
      </c>
      <c r="AY31" s="36" t="n">
        <f aca="false">MAX(0,AX31)*Assumptions!$E$73</f>
        <v>6011.86574587419</v>
      </c>
      <c r="AZ31" s="36" t="n">
        <f aca="false">AX31-AY31</f>
        <v>18035.5972376226</v>
      </c>
      <c r="BA31" s="36" t="n">
        <f aca="false">BA30+AZ31</f>
        <v>226315.371408291</v>
      </c>
      <c r="BB31" s="31" t="n">
        <f aca="false">IF(AZ31&gt;=Assumptions!$E$74/12,BB30+1,0)</f>
        <v>2</v>
      </c>
      <c r="BC31" s="31" t="n">
        <f aca="false">IF(OR(BC30=1,BB31&gt;=3),1,0)</f>
        <v>0</v>
      </c>
      <c r="BD31" s="31" t="n">
        <f aca="false">IF(AZ31&gt;=Assumptions!$E$75/12,BD30+1,0)</f>
        <v>13</v>
      </c>
      <c r="BE31" s="33" t="n">
        <f aca="false">AP31*12/52</f>
        <v>72.4027356717484</v>
      </c>
      <c r="BF31" s="33" t="n">
        <f aca="false">AR31*12/52</f>
        <v>42.4027356717484</v>
      </c>
      <c r="BG31" s="31" t="n">
        <f aca="false">IF(AX31&gt;0,A31,999)</f>
        <v>27</v>
      </c>
      <c r="BH31" s="31" t="n">
        <f aca="false">IF(BB31&gt;=3,A31,999)</f>
        <v>999</v>
      </c>
      <c r="BI31" s="31" t="n">
        <f aca="false">IF(BD31&gt;=3,A31,999)</f>
        <v>27</v>
      </c>
    </row>
    <row r="32" customFormat="false" ht="15" hidden="false" customHeight="false" outlineLevel="0" collapsed="false">
      <c r="A32" s="31" t="n">
        <v>28</v>
      </c>
      <c r="B32" s="32" t="n">
        <f aca="false">DATE(2026,10+A32,1)</f>
        <v>47150</v>
      </c>
      <c r="C32" s="31" t="n">
        <f aca="false">INT((A32-1)/12)+1</f>
        <v>3</v>
      </c>
      <c r="D32" s="31" t="n">
        <f aca="false">IF(C32=1,Assumptions!$E$7,IF(C32=2,Assumptions!$E$8,Assumptions!$E$9))</f>
        <v>30</v>
      </c>
      <c r="E32" s="31" t="n">
        <f aca="false">D32*Assumptions!$E$10</f>
        <v>660</v>
      </c>
      <c r="F32" s="33" t="n">
        <f aca="false">E32*Assumptions!$E$11</f>
        <v>66</v>
      </c>
      <c r="G32" s="34" t="n">
        <f aca="false">MIN(1,Assumptions!$E$13+(1-Assumptions!$E$13)*(A32-1)/Assumptions!$E$14)</f>
        <v>1</v>
      </c>
      <c r="H32" s="33" t="n">
        <f aca="false">F32*Assumptions!$E$12*G32</f>
        <v>9.9</v>
      </c>
      <c r="I32" s="33" t="n">
        <f aca="false">Assumptions!$E$15*(Q31+R31+T31+U31)</f>
        <v>2.28624981797956</v>
      </c>
      <c r="J32" s="33" t="n">
        <f aca="false">H32+I32</f>
        <v>12.1862498179796</v>
      </c>
      <c r="K32" s="33" t="n">
        <f aca="false">J32*Assumptions!$E$18</f>
        <v>0.609312490898978</v>
      </c>
      <c r="L32" s="33" t="n">
        <f aca="false">(J32-K32)*Assumptions!$E$17</f>
        <v>8.10385612895641</v>
      </c>
      <c r="M32" s="33" t="n">
        <f aca="false">J32-K32-L32</f>
        <v>3.47308119812418</v>
      </c>
      <c r="N32" s="33" t="n">
        <f aca="false">L32*Assumptions!$E$19</f>
        <v>0.40519280644782</v>
      </c>
      <c r="O32" s="33" t="n">
        <f aca="false">L32-N32</f>
        <v>7.69866332250859</v>
      </c>
      <c r="P32" s="33" t="n">
        <f aca="false">O20*(1-Assumptions!$E$20)^12</f>
        <v>5.60095905312915</v>
      </c>
      <c r="Q32" s="33" t="n">
        <f aca="false">Q31*(1-Assumptions!$E$20)+O32-P32</f>
        <v>78.0273225952264</v>
      </c>
      <c r="R32" s="33" t="n">
        <f aca="false">R31*(1-Assumptions!$E$22)+P32*(1-Assumptions!$E$21)</f>
        <v>52.1062682083681</v>
      </c>
      <c r="S32" s="33" t="n">
        <f aca="false">Q32+R32</f>
        <v>130.133590803594</v>
      </c>
      <c r="T32" s="33" t="n">
        <f aca="false">T31*(1-Assumptions!$E$24)+M32*Assumptions!$E$23</f>
        <v>19.8707073229143</v>
      </c>
      <c r="U32" s="33" t="n">
        <f aca="false">U31*(1-Assumptions!$E$25)+K32</f>
        <v>9.17001057919782</v>
      </c>
      <c r="V32" s="33" t="n">
        <f aca="false">V31+M32</f>
        <v>68.6493152584719</v>
      </c>
      <c r="W32" s="33" t="n">
        <f aca="false">N32+Q31*Assumptions!$E$20+P32*Assumptions!$E$21+R31*Assumptions!$E$22+T31*Assumptions!$E$24+U31*Assumptions!$E$25</f>
        <v>3.34474692536907</v>
      </c>
      <c r="X32" s="33" t="n">
        <f aca="false">IF(A32&lt;Assumptions!$E$34,0,Assumptions!$E$36*MIN(1,(A32-Assumptions!$E$34+1)/Assumptions!$E$35))*(S32+T32)</f>
        <v>45.0012894379526</v>
      </c>
      <c r="Y32" s="31" t="n">
        <f aca="false">IF(Y31&gt;0,Y31,IF(AND(A32&gt;=Assumptions!$E$41,Q31+R31+T31&gt;=Assumptions!$E$40),A32,0))</f>
        <v>9</v>
      </c>
      <c r="Z32" s="33" t="n">
        <f aca="false">IF(Y32&gt;0,Assumptions!$E$42*MIN(1,(A32-Y32+1)/Assumptions!$E$43),0)*(S32+T32)</f>
        <v>75.0021490632544</v>
      </c>
      <c r="AA32" s="35" t="n">
        <f aca="false">(1+Assumptions!$E$32)^(C32-1)</f>
        <v>1.1025</v>
      </c>
      <c r="AB32" s="36" t="n">
        <f aca="false">O32*Assumptions!$E$27*AA32</f>
        <v>840.289854993506</v>
      </c>
      <c r="AC32" s="36" t="n">
        <f aca="false">(Q31+R31)*Assumptions!$E$28*AA32</f>
        <v>13597.9649613887</v>
      </c>
      <c r="AD32" s="36" t="n">
        <f aca="false">M32*Assumptions!$E$29*AA32</f>
        <v>1910.70693844502</v>
      </c>
      <c r="AE32" s="36" t="n">
        <f aca="false">T31*Assumptions!$E$30*AA32</f>
        <v>1659.47448989287</v>
      </c>
      <c r="AF32" s="36" t="n">
        <f aca="false">U31*Assumptions!$E$31*AA32</f>
        <v>3862.38942286917</v>
      </c>
      <c r="AG32" s="36" t="n">
        <f aca="false">X32*Assumptions!$E$37*Assumptions!$E$38</f>
        <v>4500.12894379526</v>
      </c>
      <c r="AH32" s="36" t="n">
        <f aca="false">Z32*Assumptions!$E$44*Assumptions!$E$45</f>
        <v>2625.0752172139</v>
      </c>
      <c r="AI32" s="36" t="n">
        <f aca="false">SUM(AB32:AH32)</f>
        <v>28996.0298285984</v>
      </c>
      <c r="AJ32" s="36" t="n">
        <f aca="false">(S32*Assumptions!$E$28+T32*Assumptions!$E$30+U32*Assumptions!$E$31)*AA32+AG32+AH32</f>
        <v>27093.5139230647</v>
      </c>
      <c r="AK32" s="36" t="n">
        <f aca="false">(AI32-AH32)*Assumptions!$E$49</f>
        <v>922.983411398459</v>
      </c>
      <c r="AL32" s="36" t="n">
        <f aca="false">(AC32+AE32+AF32)*Assumptions!$E$50</f>
        <v>133.838802119055</v>
      </c>
      <c r="AM32" s="36" t="n">
        <f aca="false">S32*Assumptions!$E$51+M32*Assumptions!$E$52</f>
        <v>214.763206476356</v>
      </c>
      <c r="AN32" s="36" t="n">
        <f aca="false">Assumptions!$E$53+Assumptions!$E$54*(S32+T32+U32)</f>
        <v>438.348617411413</v>
      </c>
      <c r="AO32" s="36" t="n">
        <f aca="false">IF(C32&gt;=2,Assumptions!$E$55,0)</f>
        <v>200</v>
      </c>
      <c r="AP32" s="33" t="n">
        <f aca="false">E32*Assumptions!$E$60/60+F32*Assumptions!$E$61+J32*Assumptions!$E$62+(S32+T32)*Assumptions!$E$63+X32*Assumptions!$E$64+Z32*Assumptions!$E$65+U32*Assumptions!$E$66+Assumptions!$E$67*52/12</f>
        <v>324.285122640583</v>
      </c>
      <c r="AQ32" s="33" t="n">
        <f aca="false">IF(BC31=1,Assumptions!$E$69,Assumptions!$E$68)*52/12</f>
        <v>130</v>
      </c>
      <c r="AR32" s="33" t="n">
        <f aca="false">MAX(0,AP32-AQ32)</f>
        <v>194.285122640583</v>
      </c>
      <c r="AS32" s="36" t="n">
        <f aca="false">AR32*Assumptions!$E$70*Assumptions!$E$71</f>
        <v>1865.13717734959</v>
      </c>
      <c r="AT32" s="36" t="n">
        <f aca="false">Assumptions!$E$56/12</f>
        <v>66.6666666666667</v>
      </c>
      <c r="AU32" s="36" t="n">
        <f aca="false">IF(A32=1,Assumptions!$E$57,0)+Assumptions!$E$58</f>
        <v>40</v>
      </c>
      <c r="AV32" s="36" t="n">
        <f aca="false">IF(AND(Y32&gt;0,Y32=A32),Assumptions!$E$46,0)+IF(Y32&gt;0,Assumptions!$E$47,0)</f>
        <v>50</v>
      </c>
      <c r="AW32" s="36" t="n">
        <f aca="false">AK32+AL32+AM32+AN32+AO32+AS32+AT32+AU32+AV32</f>
        <v>3931.73788142154</v>
      </c>
      <c r="AX32" s="36" t="n">
        <f aca="false">AI32-AW32</f>
        <v>25064.2919471769</v>
      </c>
      <c r="AY32" s="36" t="n">
        <f aca="false">MAX(0,AX32)*Assumptions!$E$73</f>
        <v>6266.07298679422</v>
      </c>
      <c r="AZ32" s="36" t="n">
        <f aca="false">AX32-AY32</f>
        <v>18798.2189603827</v>
      </c>
      <c r="BA32" s="36" t="n">
        <f aca="false">BA31+AZ32</f>
        <v>245113.590368674</v>
      </c>
      <c r="BB32" s="31" t="n">
        <f aca="false">IF(AZ32&gt;=Assumptions!$E$74/12,BB31+1,0)</f>
        <v>3</v>
      </c>
      <c r="BC32" s="31" t="n">
        <f aca="false">IF(OR(BC31=1,BB32&gt;=3),1,0)</f>
        <v>1</v>
      </c>
      <c r="BD32" s="31" t="n">
        <f aca="false">IF(AZ32&gt;=Assumptions!$E$75/12,BD31+1,0)</f>
        <v>14</v>
      </c>
      <c r="BE32" s="33" t="n">
        <f aca="false">AP32*12/52</f>
        <v>74.8350283016729</v>
      </c>
      <c r="BF32" s="33" t="n">
        <f aca="false">AR32*12/52</f>
        <v>44.8350283016729</v>
      </c>
      <c r="BG32" s="31" t="n">
        <f aca="false">IF(AX32&gt;0,A32,999)</f>
        <v>28</v>
      </c>
      <c r="BH32" s="31" t="n">
        <f aca="false">IF(BB32&gt;=3,A32,999)</f>
        <v>28</v>
      </c>
      <c r="BI32" s="31" t="n">
        <f aca="false">IF(BD32&gt;=3,A32,999)</f>
        <v>28</v>
      </c>
    </row>
    <row r="33" customFormat="false" ht="15" hidden="false" customHeight="false" outlineLevel="0" collapsed="false">
      <c r="A33" s="31" t="n">
        <v>29</v>
      </c>
      <c r="B33" s="32" t="n">
        <f aca="false">DATE(2026,10+A33,1)</f>
        <v>47178</v>
      </c>
      <c r="C33" s="31" t="n">
        <f aca="false">INT((A33-1)/12)+1</f>
        <v>3</v>
      </c>
      <c r="D33" s="31" t="n">
        <f aca="false">IF(C33=1,Assumptions!$E$7,IF(C33=2,Assumptions!$E$8,Assumptions!$E$9))</f>
        <v>30</v>
      </c>
      <c r="E33" s="31" t="n">
        <f aca="false">D33*Assumptions!$E$10</f>
        <v>660</v>
      </c>
      <c r="F33" s="33" t="n">
        <f aca="false">E33*Assumptions!$E$11</f>
        <v>66</v>
      </c>
      <c r="G33" s="34" t="n">
        <f aca="false">MIN(1,Assumptions!$E$13+(1-Assumptions!$E$13)*(A33-1)/Assumptions!$E$14)</f>
        <v>1</v>
      </c>
      <c r="H33" s="33" t="n">
        <f aca="false">F33*Assumptions!$E$12*G33</f>
        <v>9.9</v>
      </c>
      <c r="I33" s="33" t="n">
        <f aca="false">Assumptions!$E$15*(Q32+R32+T32+U32)</f>
        <v>2.3876146305856</v>
      </c>
      <c r="J33" s="33" t="n">
        <f aca="false">H33+I33</f>
        <v>12.2876146305856</v>
      </c>
      <c r="K33" s="33" t="n">
        <f aca="false">J33*Assumptions!$E$18</f>
        <v>0.61438073152928</v>
      </c>
      <c r="L33" s="33" t="n">
        <f aca="false">(J33-K33)*Assumptions!$E$17</f>
        <v>8.17126372933942</v>
      </c>
      <c r="M33" s="33" t="n">
        <f aca="false">J33-K33-L33</f>
        <v>3.5019701697169</v>
      </c>
      <c r="N33" s="33" t="n">
        <f aca="false">L33*Assumptions!$E$19</f>
        <v>0.408563186466971</v>
      </c>
      <c r="O33" s="33" t="n">
        <f aca="false">L33-N33</f>
        <v>7.76270054287245</v>
      </c>
      <c r="P33" s="33" t="n">
        <f aca="false">O21*(1-Assumptions!$E$20)^12</f>
        <v>5.65676552754688</v>
      </c>
      <c r="Q33" s="33" t="n">
        <f aca="false">Q32*(1-Assumptions!$E$20)+O33-P33</f>
        <v>79.7431209975758</v>
      </c>
      <c r="R33" s="33" t="n">
        <f aca="false">R32*(1-Assumptions!$E$22)+P33*(1-Assumptions!$E$21)</f>
        <v>55.8947004779511</v>
      </c>
      <c r="S33" s="33" t="n">
        <f aca="false">Q33+R33</f>
        <v>135.637821475527</v>
      </c>
      <c r="T33" s="33" t="n">
        <f aca="false">T32*(1-Assumptions!$E$24)+M33*Assumptions!$E$23</f>
        <v>20.6753741711136</v>
      </c>
      <c r="U33" s="33" t="n">
        <f aca="false">U32*(1-Assumptions!$E$25)+K33</f>
        <v>9.55514104624715</v>
      </c>
      <c r="V33" s="33" t="n">
        <f aca="false">V32+M33</f>
        <v>72.1512854281888</v>
      </c>
      <c r="W33" s="33" t="n">
        <f aca="false">N33+Q32*Assumptions!$E$20+P33*Assumptions!$E$21+R32*Assumptions!$E$22+T32*Assumptions!$E$24+U32*Assumptions!$E$25</f>
        <v>3.49240454157437</v>
      </c>
      <c r="X33" s="33" t="n">
        <f aca="false">IF(A33&lt;Assumptions!$E$34,0,Assumptions!$E$36*MIN(1,(A33-Assumptions!$E$34+1)/Assumptions!$E$35))*(S33+T33)</f>
        <v>46.8939586939922</v>
      </c>
      <c r="Y33" s="31" t="n">
        <f aca="false">IF(Y32&gt;0,Y32,IF(AND(A33&gt;=Assumptions!$E$41,Q32+R32+T32&gt;=Assumptions!$E$40),A33,0))</f>
        <v>9</v>
      </c>
      <c r="Z33" s="33" t="n">
        <f aca="false">IF(Y33&gt;0,Assumptions!$E$42*MIN(1,(A33-Y33+1)/Assumptions!$E$43),0)*(S33+T33)</f>
        <v>78.1565978233203</v>
      </c>
      <c r="AA33" s="35" t="n">
        <f aca="false">(1+Assumptions!$E$32)^(C33-1)</f>
        <v>1.1025</v>
      </c>
      <c r="AB33" s="36" t="n">
        <f aca="false">O33*Assumptions!$E$27*AA33</f>
        <v>847.279357503171</v>
      </c>
      <c r="AC33" s="36" t="n">
        <f aca="false">(Q32+R32)*Assumptions!$E$28*AA33</f>
        <v>14203.7561022353</v>
      </c>
      <c r="AD33" s="36" t="n">
        <f aca="false">M33*Assumptions!$E$29*AA33</f>
        <v>1926.60013394433</v>
      </c>
      <c r="AE33" s="36" t="n">
        <f aca="false">T32*Assumptions!$E$30*AA33</f>
        <v>1730.68893105753</v>
      </c>
      <c r="AF33" s="36" t="n">
        <f aca="false">U32*Assumptions!$E$31*AA33</f>
        <v>4033.86472876267</v>
      </c>
      <c r="AG33" s="36" t="n">
        <f aca="false">X33*Assumptions!$E$37*Assumptions!$E$38</f>
        <v>4689.39586939922</v>
      </c>
      <c r="AH33" s="36" t="n">
        <f aca="false">Z33*Assumptions!$E$44*Assumptions!$E$45</f>
        <v>2735.48092381621</v>
      </c>
      <c r="AI33" s="36" t="n">
        <f aca="false">SUM(AB33:AH33)</f>
        <v>30167.0660467185</v>
      </c>
      <c r="AJ33" s="36" t="n">
        <f aca="false">(S33*Assumptions!$E$28+T33*Assumptions!$E$30+U33*Assumptions!$E$31)*AA33+AG33+AH33</f>
        <v>28233.4619729756</v>
      </c>
      <c r="AK33" s="36" t="n">
        <f aca="false">(AI33-AH33)*Assumptions!$E$49</f>
        <v>960.105479301579</v>
      </c>
      <c r="AL33" s="36" t="n">
        <f aca="false">(AC33+AE33+AF33)*Assumptions!$E$50</f>
        <v>139.778168334389</v>
      </c>
      <c r="AM33" s="36" t="n">
        <f aca="false">S33*Assumptions!$E$51+M33*Assumptions!$E$52</f>
        <v>222.076829390162</v>
      </c>
      <c r="AN33" s="36" t="n">
        <f aca="false">Assumptions!$E$53+Assumptions!$E$54*(S33+T33+U33)</f>
        <v>451.736673385775</v>
      </c>
      <c r="AO33" s="36" t="n">
        <f aca="false">IF(C33&gt;=2,Assumptions!$E$55,0)</f>
        <v>200</v>
      </c>
      <c r="AP33" s="33" t="n">
        <f aca="false">E33*Assumptions!$E$60/60+F33*Assumptions!$E$61+J33*Assumptions!$E$62+(S33+T33)*Assumptions!$E$63+X33*Assumptions!$E$64+Z33*Assumptions!$E$65+U33*Assumptions!$E$66+Assumptions!$E$67*52/12</f>
        <v>334.722111408913</v>
      </c>
      <c r="AQ33" s="33" t="n">
        <f aca="false">IF(BC32=1,Assumptions!$E$69,Assumptions!$E$68)*52/12</f>
        <v>346.666666666667</v>
      </c>
      <c r="AR33" s="33" t="n">
        <f aca="false">MAX(0,AP33-AQ33)</f>
        <v>0</v>
      </c>
      <c r="AS33" s="36" t="n">
        <f aca="false">AR33*Assumptions!$E$70*Assumptions!$E$71</f>
        <v>0</v>
      </c>
      <c r="AT33" s="36" t="n">
        <f aca="false">Assumptions!$E$56/12</f>
        <v>66.6666666666667</v>
      </c>
      <c r="AU33" s="36" t="n">
        <f aca="false">IF(A33=1,Assumptions!$E$57,0)+Assumptions!$E$58</f>
        <v>40</v>
      </c>
      <c r="AV33" s="36" t="n">
        <f aca="false">IF(AND(Y33&gt;0,Y33=A33),Assumptions!$E$46,0)+IF(Y33&gt;0,Assumptions!$E$47,0)</f>
        <v>50</v>
      </c>
      <c r="AW33" s="36" t="n">
        <f aca="false">AK33+AL33+AM33+AN33+AO33+AS33+AT33+AU33+AV33</f>
        <v>2130.36381707857</v>
      </c>
      <c r="AX33" s="36" t="n">
        <f aca="false">AI33-AW33</f>
        <v>28036.7022296399</v>
      </c>
      <c r="AY33" s="36" t="n">
        <f aca="false">MAX(0,AX33)*Assumptions!$E$73</f>
        <v>7009.17555740997</v>
      </c>
      <c r="AZ33" s="36" t="n">
        <f aca="false">AX33-AY33</f>
        <v>21027.5266722299</v>
      </c>
      <c r="BA33" s="36" t="n">
        <f aca="false">BA32+AZ33</f>
        <v>266141.117040904</v>
      </c>
      <c r="BB33" s="31" t="n">
        <f aca="false">IF(AZ33&gt;=Assumptions!$E$74/12,BB32+1,0)</f>
        <v>4</v>
      </c>
      <c r="BC33" s="31" t="n">
        <f aca="false">IF(OR(BC32=1,BB33&gt;=3),1,0)</f>
        <v>1</v>
      </c>
      <c r="BD33" s="31" t="n">
        <f aca="false">IF(AZ33&gt;=Assumptions!$E$75/12,BD32+1,0)</f>
        <v>15</v>
      </c>
      <c r="BE33" s="33" t="n">
        <f aca="false">AP33*12/52</f>
        <v>77.2435641712876</v>
      </c>
      <c r="BF33" s="33" t="n">
        <f aca="false">AR33*12/52</f>
        <v>0</v>
      </c>
      <c r="BG33" s="31" t="n">
        <f aca="false">IF(AX33&gt;0,A33,999)</f>
        <v>29</v>
      </c>
      <c r="BH33" s="31" t="n">
        <f aca="false">IF(BB33&gt;=3,A33,999)</f>
        <v>29</v>
      </c>
      <c r="BI33" s="31" t="n">
        <f aca="false">IF(BD33&gt;=3,A33,999)</f>
        <v>29</v>
      </c>
    </row>
    <row r="34" customFormat="false" ht="15" hidden="false" customHeight="false" outlineLevel="0" collapsed="false">
      <c r="A34" s="31" t="n">
        <v>30</v>
      </c>
      <c r="B34" s="32" t="n">
        <f aca="false">DATE(2026,10+A34,1)</f>
        <v>47209</v>
      </c>
      <c r="C34" s="31" t="n">
        <f aca="false">INT((A34-1)/12)+1</f>
        <v>3</v>
      </c>
      <c r="D34" s="31" t="n">
        <f aca="false">IF(C34=1,Assumptions!$E$7,IF(C34=2,Assumptions!$E$8,Assumptions!$E$9))</f>
        <v>30</v>
      </c>
      <c r="E34" s="31" t="n">
        <f aca="false">D34*Assumptions!$E$10</f>
        <v>660</v>
      </c>
      <c r="F34" s="33" t="n">
        <f aca="false">E34*Assumptions!$E$11</f>
        <v>66</v>
      </c>
      <c r="G34" s="34" t="n">
        <f aca="false">MIN(1,Assumptions!$E$13+(1-Assumptions!$E$13)*(A34-1)/Assumptions!$E$14)</f>
        <v>1</v>
      </c>
      <c r="H34" s="33" t="n">
        <f aca="false">F34*Assumptions!$E$12*G34</f>
        <v>9.9</v>
      </c>
      <c r="I34" s="33" t="n">
        <f aca="false">Assumptions!$E$15*(Q33+R33+T33+U33)</f>
        <v>2.48802505039332</v>
      </c>
      <c r="J34" s="33" t="n">
        <f aca="false">H34+I34</f>
        <v>12.3880250503933</v>
      </c>
      <c r="K34" s="33" t="n">
        <f aca="false">J34*Assumptions!$E$18</f>
        <v>0.619401252519666</v>
      </c>
      <c r="L34" s="33" t="n">
        <f aca="false">(J34-K34)*Assumptions!$E$17</f>
        <v>8.23803665851155</v>
      </c>
      <c r="M34" s="33" t="n">
        <f aca="false">J34-K34-L34</f>
        <v>3.5305871393621</v>
      </c>
      <c r="N34" s="33" t="n">
        <f aca="false">L34*Assumptions!$E$19</f>
        <v>0.411901832925578</v>
      </c>
      <c r="O34" s="33" t="n">
        <f aca="false">L34-N34</f>
        <v>7.82613482558598</v>
      </c>
      <c r="P34" s="33" t="n">
        <f aca="false">O22*(1-Assumptions!$E$20)^12</f>
        <v>5.71178375280866</v>
      </c>
      <c r="Q34" s="33" t="n">
        <f aca="false">Q33*(1-Assumptions!$E$20)+O34-P34</f>
        <v>81.4587564653652</v>
      </c>
      <c r="R34" s="33" t="n">
        <f aca="false">R33*(1-Assumptions!$E$22)+P34*(1-Assumptions!$E$21)</f>
        <v>59.6379383435301</v>
      </c>
      <c r="S34" s="33" t="n">
        <f aca="false">Q34+R34</f>
        <v>141.096694808895</v>
      </c>
      <c r="T34" s="33" t="n">
        <f aca="false">T33*(1-Assumptions!$E$24)+M34*Assumptions!$E$23</f>
        <v>21.4673478017251</v>
      </c>
      <c r="U34" s="33" t="n">
        <f aca="false">U33*(1-Assumptions!$E$25)+K34</f>
        <v>9.93566377261064</v>
      </c>
      <c r="V34" s="33" t="n">
        <f aca="false">V33+M34</f>
        <v>75.6818725675509</v>
      </c>
      <c r="W34" s="33" t="n">
        <f aca="false">N34+Q33*Assumptions!$E$20+P34*Assumptions!$E$21+R33*Assumptions!$E$22+T33*Assumptions!$E$24+U33*Assumptions!$E$25</f>
        <v>3.63830307643269</v>
      </c>
      <c r="X34" s="33" t="n">
        <f aca="false">IF(A34&lt;Assumptions!$E$34,0,Assumptions!$E$36*MIN(1,(A34-Assumptions!$E$34+1)/Assumptions!$E$35))*(S34+T34)</f>
        <v>48.7692127831861</v>
      </c>
      <c r="Y34" s="31" t="n">
        <f aca="false">IF(Y33&gt;0,Y33,IF(AND(A34&gt;=Assumptions!$E$41,Q33+R33+T33&gt;=Assumptions!$E$40),A34,0))</f>
        <v>9</v>
      </c>
      <c r="Z34" s="33" t="n">
        <f aca="false">IF(Y34&gt;0,Assumptions!$E$42*MIN(1,(A34-Y34+1)/Assumptions!$E$43),0)*(S34+T34)</f>
        <v>81.2820213053102</v>
      </c>
      <c r="AA34" s="35" t="n">
        <f aca="false">(1+Assumptions!$E$32)^(C34-1)</f>
        <v>1.1025</v>
      </c>
      <c r="AB34" s="36" t="n">
        <f aca="false">O34*Assumptions!$E$27*AA34</f>
        <v>854.203050875645</v>
      </c>
      <c r="AC34" s="36" t="n">
        <f aca="false">(Q33+R33)*Assumptions!$E$28*AA34</f>
        <v>14804.5291195001</v>
      </c>
      <c r="AD34" s="36" t="n">
        <f aca="false">M34*Assumptions!$E$29*AA34</f>
        <v>1942.34368825221</v>
      </c>
      <c r="AE34" s="36" t="n">
        <f aca="false">T33*Assumptions!$E$30*AA34</f>
        <v>1800.77340186857</v>
      </c>
      <c r="AF34" s="36" t="n">
        <f aca="false">U33*Assumptions!$E$31*AA34</f>
        <v>4203.28265839151</v>
      </c>
      <c r="AG34" s="36" t="n">
        <f aca="false">X34*Assumptions!$E$37*Assumptions!$E$38</f>
        <v>4876.92127831861</v>
      </c>
      <c r="AH34" s="36" t="n">
        <f aca="false">Z34*Assumptions!$E$44*Assumptions!$E$45</f>
        <v>2844.87074568586</v>
      </c>
      <c r="AI34" s="36" t="n">
        <f aca="false">SUM(AB34:AH34)</f>
        <v>31326.9239428925</v>
      </c>
      <c r="AJ34" s="36" t="n">
        <f aca="false">(S34*Assumptions!$E$28+T34*Assumptions!$E$30+U34*Assumptions!$E$31)*AA34+AG34+AH34</f>
        <v>29362.5695002311</v>
      </c>
      <c r="AK34" s="36" t="n">
        <f aca="false">(AI34-AH34)*Assumptions!$E$49</f>
        <v>996.871861902232</v>
      </c>
      <c r="AL34" s="36" t="n">
        <f aca="false">(AC34+AE34+AF34)*Assumptions!$E$50</f>
        <v>145.660096258321</v>
      </c>
      <c r="AM34" s="36" t="n">
        <f aca="false">S34*Assumptions!$E$51+M34*Assumptions!$E$52</f>
        <v>229.329675601551</v>
      </c>
      <c r="AN34" s="36" t="n">
        <f aca="false">Assumptions!$E$53+Assumptions!$E$54*(S34+T34+U34)</f>
        <v>464.999412766462</v>
      </c>
      <c r="AO34" s="36" t="n">
        <f aca="false">IF(C34&gt;=2,Assumptions!$E$55,0)</f>
        <v>200</v>
      </c>
      <c r="AP34" s="33" t="n">
        <f aca="false">E34*Assumptions!$E$60/60+F34*Assumptions!$E$61+J34*Assumptions!$E$62+(S34+T34)*Assumptions!$E$63+X34*Assumptions!$E$64+Z34*Assumptions!$E$65+U34*Assumptions!$E$66+Assumptions!$E$67*52/12</f>
        <v>345.057712897715</v>
      </c>
      <c r="AQ34" s="33" t="n">
        <f aca="false">IF(BC33=1,Assumptions!$E$69,Assumptions!$E$68)*52/12</f>
        <v>346.666666666667</v>
      </c>
      <c r="AR34" s="33" t="n">
        <f aca="false">MAX(0,AP34-AQ34)</f>
        <v>0</v>
      </c>
      <c r="AS34" s="36" t="n">
        <f aca="false">AR34*Assumptions!$E$70*Assumptions!$E$71</f>
        <v>0</v>
      </c>
      <c r="AT34" s="36" t="n">
        <f aca="false">Assumptions!$E$56/12</f>
        <v>66.6666666666667</v>
      </c>
      <c r="AU34" s="36" t="n">
        <f aca="false">IF(A34=1,Assumptions!$E$57,0)+Assumptions!$E$58</f>
        <v>40</v>
      </c>
      <c r="AV34" s="36" t="n">
        <f aca="false">IF(AND(Y34&gt;0,Y34=A34),Assumptions!$E$46,0)+IF(Y34&gt;0,Assumptions!$E$47,0)</f>
        <v>50</v>
      </c>
      <c r="AW34" s="36" t="n">
        <f aca="false">AK34+AL34+AM34+AN34+AO34+AS34+AT34+AU34+AV34</f>
        <v>2193.52771319523</v>
      </c>
      <c r="AX34" s="36" t="n">
        <f aca="false">AI34-AW34</f>
        <v>29133.3962296972</v>
      </c>
      <c r="AY34" s="36" t="n">
        <f aca="false">MAX(0,AX34)*Assumptions!$E$73</f>
        <v>7283.34905742431</v>
      </c>
      <c r="AZ34" s="36" t="n">
        <f aca="false">AX34-AY34</f>
        <v>21850.0471722729</v>
      </c>
      <c r="BA34" s="36" t="n">
        <f aca="false">BA33+AZ34</f>
        <v>287991.164213177</v>
      </c>
      <c r="BB34" s="31" t="n">
        <f aca="false">IF(AZ34&gt;=Assumptions!$E$74/12,BB33+1,0)</f>
        <v>5</v>
      </c>
      <c r="BC34" s="31" t="n">
        <f aca="false">IF(OR(BC33=1,BB34&gt;=3),1,0)</f>
        <v>1</v>
      </c>
      <c r="BD34" s="31" t="n">
        <f aca="false">IF(AZ34&gt;=Assumptions!$E$75/12,BD33+1,0)</f>
        <v>16</v>
      </c>
      <c r="BE34" s="33" t="n">
        <f aca="false">AP34*12/52</f>
        <v>79.6287029763958</v>
      </c>
      <c r="BF34" s="33" t="n">
        <f aca="false">AR34*12/52</f>
        <v>0</v>
      </c>
      <c r="BG34" s="31" t="n">
        <f aca="false">IF(AX34&gt;0,A34,999)</f>
        <v>30</v>
      </c>
      <c r="BH34" s="31" t="n">
        <f aca="false">IF(BB34&gt;=3,A34,999)</f>
        <v>30</v>
      </c>
      <c r="BI34" s="31" t="n">
        <f aca="false">IF(BD34&gt;=3,A34,999)</f>
        <v>30</v>
      </c>
    </row>
    <row r="35" customFormat="false" ht="15" hidden="false" customHeight="false" outlineLevel="0" collapsed="false">
      <c r="A35" s="31" t="n">
        <v>31</v>
      </c>
      <c r="B35" s="32" t="n">
        <f aca="false">DATE(2026,10+A35,1)</f>
        <v>47239</v>
      </c>
      <c r="C35" s="31" t="n">
        <f aca="false">INT((A35-1)/12)+1</f>
        <v>3</v>
      </c>
      <c r="D35" s="31" t="n">
        <f aca="false">IF(C35=1,Assumptions!$E$7,IF(C35=2,Assumptions!$E$8,Assumptions!$E$9))</f>
        <v>30</v>
      </c>
      <c r="E35" s="31" t="n">
        <f aca="false">D35*Assumptions!$E$10</f>
        <v>660</v>
      </c>
      <c r="F35" s="33" t="n">
        <f aca="false">E35*Assumptions!$E$11</f>
        <v>66</v>
      </c>
      <c r="G35" s="34" t="n">
        <f aca="false">MIN(1,Assumptions!$E$13+(1-Assumptions!$E$13)*(A35-1)/Assumptions!$E$14)</f>
        <v>1</v>
      </c>
      <c r="H35" s="33" t="n">
        <f aca="false">F35*Assumptions!$E$12*G35</f>
        <v>9.9</v>
      </c>
      <c r="I35" s="33" t="n">
        <f aca="false">Assumptions!$E$15*(Q34+R34+T34+U34)</f>
        <v>2.58749559574847</v>
      </c>
      <c r="J35" s="33" t="n">
        <f aca="false">H35+I35</f>
        <v>12.4874955957485</v>
      </c>
      <c r="K35" s="33" t="n">
        <f aca="false">J35*Assumptions!$E$18</f>
        <v>0.624374779787423</v>
      </c>
      <c r="L35" s="33" t="n">
        <f aca="false">(J35-K35)*Assumptions!$E$17</f>
        <v>8.30418457117273</v>
      </c>
      <c r="M35" s="33" t="n">
        <f aca="false">J35-K35-L35</f>
        <v>3.55893624478831</v>
      </c>
      <c r="N35" s="33" t="n">
        <f aca="false">L35*Assumptions!$E$19</f>
        <v>0.415209228558637</v>
      </c>
      <c r="O35" s="33" t="n">
        <f aca="false">L35-N35</f>
        <v>7.88897534261409</v>
      </c>
      <c r="P35" s="33" t="n">
        <f aca="false">O23*(1-Assumptions!$E$20)^12</f>
        <v>5.76630177562458</v>
      </c>
      <c r="Q35" s="33" t="n">
        <f aca="false">Q34*(1-Assumptions!$E$20)+O35-P35</f>
        <v>83.1741362500279</v>
      </c>
      <c r="R35" s="33" t="n">
        <f aca="false">R34*(1-Assumptions!$E$22)+P35*(1-Assumptions!$E$21)</f>
        <v>63.336661483004</v>
      </c>
      <c r="S35" s="33" t="n">
        <f aca="false">Q35+R35</f>
        <v>146.510797733032</v>
      </c>
      <c r="T35" s="33" t="n">
        <f aca="false">T34*(1-Assumptions!$E$24)+M35*Assumptions!$E$23</f>
        <v>22.2469018655886</v>
      </c>
      <c r="U35" s="33" t="n">
        <f aca="false">U34*(1-Assumptions!$E$25)+K35</f>
        <v>10.3116469580828</v>
      </c>
      <c r="V35" s="33" t="n">
        <f aca="false">V34+M35</f>
        <v>79.2408088123392</v>
      </c>
      <c r="W35" s="33" t="n">
        <f aca="false">N35+Q34*Assumptions!$E$20+P35*Assumptions!$E$21+R34*Assumptions!$E$22+T34*Assumptions!$E$24+U34*Assumptions!$E$25</f>
        <v>3.78249367540319</v>
      </c>
      <c r="X35" s="33" t="n">
        <f aca="false">IF(A35&lt;Assumptions!$E$34,0,Assumptions!$E$36*MIN(1,(A35-Assumptions!$E$34+1)/Assumptions!$E$35))*(S35+T35)</f>
        <v>50.6273098795862</v>
      </c>
      <c r="Y35" s="31" t="n">
        <f aca="false">IF(Y34&gt;0,Y34,IF(AND(A35&gt;=Assumptions!$E$41,Q34+R34+T34&gt;=Assumptions!$E$40),A35,0))</f>
        <v>9</v>
      </c>
      <c r="Z35" s="33" t="n">
        <f aca="false">IF(Y35&gt;0,Assumptions!$E$42*MIN(1,(A35-Y35+1)/Assumptions!$E$43),0)*(S35+T35)</f>
        <v>84.3788497993103</v>
      </c>
      <c r="AA35" s="35" t="n">
        <f aca="false">(1+Assumptions!$E$32)^(C35-1)</f>
        <v>1.1025</v>
      </c>
      <c r="AB35" s="36" t="n">
        <f aca="false">O35*Assumptions!$E$27*AA35</f>
        <v>861.061936207972</v>
      </c>
      <c r="AC35" s="36" t="n">
        <f aca="false">(Q34+R34)*Assumptions!$E$28*AA35</f>
        <v>15400.3514966539</v>
      </c>
      <c r="AD35" s="36" t="n">
        <f aca="false">M35*Assumptions!$E$29*AA35</f>
        <v>1957.93987772968</v>
      </c>
      <c r="AE35" s="36" t="n">
        <f aca="false">T34*Assumptions!$E$30*AA35</f>
        <v>1869.75232516075</v>
      </c>
      <c r="AF35" s="36" t="n">
        <f aca="false">U34*Assumptions!$E$31*AA35</f>
        <v>4370.67365441199</v>
      </c>
      <c r="AG35" s="36" t="n">
        <f aca="false">X35*Assumptions!$E$37*Assumptions!$E$38</f>
        <v>5062.73098795862</v>
      </c>
      <c r="AH35" s="36" t="n">
        <f aca="false">Z35*Assumptions!$E$44*Assumptions!$E$45</f>
        <v>2953.25974297586</v>
      </c>
      <c r="AI35" s="36" t="n">
        <f aca="false">SUM(AB35:AH35)</f>
        <v>32475.7700210988</v>
      </c>
      <c r="AJ35" s="36" t="n">
        <f aca="false">(S35*Assumptions!$E$28+T35*Assumptions!$E$30+U35*Assumptions!$E$31)*AA35+AG35+AH35</f>
        <v>30480.9952794819</v>
      </c>
      <c r="AK35" s="36" t="n">
        <f aca="false">(AI35-AH35)*Assumptions!$E$49</f>
        <v>1033.2878597343</v>
      </c>
      <c r="AL35" s="36" t="n">
        <f aca="false">(AC35+AE35+AF35)*Assumptions!$E$50</f>
        <v>151.485442333587</v>
      </c>
      <c r="AM35" s="36" t="n">
        <f aca="false">S35*Assumptions!$E$51+M35*Assumptions!$E$52</f>
        <v>236.522540838115</v>
      </c>
      <c r="AN35" s="36" t="n">
        <f aca="false">Assumptions!$E$53+Assumptions!$E$54*(S35+T35+U35)</f>
        <v>478.138693113407</v>
      </c>
      <c r="AO35" s="36" t="n">
        <f aca="false">IF(C35&gt;=2,Assumptions!$E$55,0)</f>
        <v>200</v>
      </c>
      <c r="AP35" s="33" t="n">
        <f aca="false">E35*Assumptions!$E$60/60+F35*Assumptions!$E$61+J35*Assumptions!$E$62+(S35+T35)*Assumptions!$E$63+X35*Assumptions!$E$64+Z35*Assumptions!$E$65+U35*Assumptions!$E$66+Assumptions!$E$67*52/12</f>
        <v>355.293430152209</v>
      </c>
      <c r="AQ35" s="33" t="n">
        <f aca="false">IF(BC34=1,Assumptions!$E$69,Assumptions!$E$68)*52/12</f>
        <v>346.666666666667</v>
      </c>
      <c r="AR35" s="33" t="n">
        <f aca="false">MAX(0,AP35-AQ35)</f>
        <v>8.62676348554214</v>
      </c>
      <c r="AS35" s="36" t="n">
        <f aca="false">AR35*Assumptions!$E$70*Assumptions!$E$71</f>
        <v>82.8169294612046</v>
      </c>
      <c r="AT35" s="36" t="n">
        <f aca="false">Assumptions!$E$56/12</f>
        <v>66.6666666666667</v>
      </c>
      <c r="AU35" s="36" t="n">
        <f aca="false">IF(A35=1,Assumptions!$E$57,0)+Assumptions!$E$58</f>
        <v>40</v>
      </c>
      <c r="AV35" s="36" t="n">
        <f aca="false">IF(AND(Y35&gt;0,Y35=A35),Assumptions!$E$46,0)+IF(Y35&gt;0,Assumptions!$E$47,0)</f>
        <v>50</v>
      </c>
      <c r="AW35" s="36" t="n">
        <f aca="false">AK35+AL35+AM35+AN35+AO35+AS35+AT35+AU35+AV35</f>
        <v>2338.91813214728</v>
      </c>
      <c r="AX35" s="36" t="n">
        <f aca="false">AI35-AW35</f>
        <v>30136.8518889515</v>
      </c>
      <c r="AY35" s="36" t="n">
        <f aca="false">MAX(0,AX35)*Assumptions!$E$73</f>
        <v>7534.21297223787</v>
      </c>
      <c r="AZ35" s="36" t="n">
        <f aca="false">AX35-AY35</f>
        <v>22602.6389167136</v>
      </c>
      <c r="BA35" s="36" t="n">
        <f aca="false">BA34+AZ35</f>
        <v>310593.803129891</v>
      </c>
      <c r="BB35" s="31" t="n">
        <f aca="false">IF(AZ35&gt;=Assumptions!$E$74/12,BB34+1,0)</f>
        <v>6</v>
      </c>
      <c r="BC35" s="31" t="n">
        <f aca="false">IF(OR(BC34=1,BB35&gt;=3),1,0)</f>
        <v>1</v>
      </c>
      <c r="BD35" s="31" t="n">
        <f aca="false">IF(AZ35&gt;=Assumptions!$E$75/12,BD34+1,0)</f>
        <v>17</v>
      </c>
      <c r="BE35" s="33" t="n">
        <f aca="false">AP35*12/52</f>
        <v>81.9907915735867</v>
      </c>
      <c r="BF35" s="33" t="n">
        <f aca="false">AR35*12/52</f>
        <v>1.99079157358665</v>
      </c>
      <c r="BG35" s="31" t="n">
        <f aca="false">IF(AX35&gt;0,A35,999)</f>
        <v>31</v>
      </c>
      <c r="BH35" s="31" t="n">
        <f aca="false">IF(BB35&gt;=3,A35,999)</f>
        <v>31</v>
      </c>
      <c r="BI35" s="31" t="n">
        <f aca="false">IF(BD35&gt;=3,A35,999)</f>
        <v>31</v>
      </c>
    </row>
    <row r="36" customFormat="false" ht="15" hidden="false" customHeight="false" outlineLevel="0" collapsed="false">
      <c r="A36" s="31" t="n">
        <v>32</v>
      </c>
      <c r="B36" s="32" t="n">
        <f aca="false">DATE(2026,10+A36,1)</f>
        <v>47270</v>
      </c>
      <c r="C36" s="31" t="n">
        <f aca="false">INT((A36-1)/12)+1</f>
        <v>3</v>
      </c>
      <c r="D36" s="31" t="n">
        <f aca="false">IF(C36=1,Assumptions!$E$7,IF(C36=2,Assumptions!$E$8,Assumptions!$E$9))</f>
        <v>30</v>
      </c>
      <c r="E36" s="31" t="n">
        <f aca="false">D36*Assumptions!$E$10</f>
        <v>660</v>
      </c>
      <c r="F36" s="33" t="n">
        <f aca="false">E36*Assumptions!$E$11</f>
        <v>66</v>
      </c>
      <c r="G36" s="34" t="n">
        <f aca="false">MIN(1,Assumptions!$E$13+(1-Assumptions!$E$13)*(A36-1)/Assumptions!$E$14)</f>
        <v>1</v>
      </c>
      <c r="H36" s="33" t="n">
        <f aca="false">F36*Assumptions!$E$12*G36</f>
        <v>9.9</v>
      </c>
      <c r="I36" s="33" t="n">
        <f aca="false">Assumptions!$E$15*(Q35+R35+T35+U35)</f>
        <v>2.68604019835055</v>
      </c>
      <c r="J36" s="33" t="n">
        <f aca="false">H36+I36</f>
        <v>12.5860401983505</v>
      </c>
      <c r="K36" s="33" t="n">
        <f aca="false">J36*Assumptions!$E$18</f>
        <v>0.629302009917528</v>
      </c>
      <c r="L36" s="33" t="n">
        <f aca="false">(J36-K36)*Assumptions!$E$17</f>
        <v>8.36971673190311</v>
      </c>
      <c r="M36" s="33" t="n">
        <f aca="false">J36-K36-L36</f>
        <v>3.58702145652991</v>
      </c>
      <c r="N36" s="33" t="n">
        <f aca="false">L36*Assumptions!$E$19</f>
        <v>0.418485836595156</v>
      </c>
      <c r="O36" s="33" t="n">
        <f aca="false">L36-N36</f>
        <v>7.95123089530796</v>
      </c>
      <c r="P36" s="33" t="n">
        <f aca="false">O24*(1-Assumptions!$E$20)^12</f>
        <v>5.82032711485448</v>
      </c>
      <c r="Q36" s="33" t="n">
        <f aca="false">Q35*(1-Assumptions!$E$20)+O36-P36</f>
        <v>84.8891693492313</v>
      </c>
      <c r="R36" s="33" t="n">
        <f aca="false">R35*(1-Assumptions!$E$22)+P36*(1-Assumptions!$E$21)</f>
        <v>66.9915393492979</v>
      </c>
      <c r="S36" s="33" t="n">
        <f aca="false">Q36+R36</f>
        <v>151.880708698529</v>
      </c>
      <c r="T36" s="33" t="n">
        <f aca="false">T35*(1-Assumptions!$E$24)+M36*Assumptions!$E$23</f>
        <v>23.0143033922329</v>
      </c>
      <c r="U36" s="33" t="n">
        <f aca="false">U35*(1-Assumptions!$E$25)+K36</f>
        <v>10.6831577940483</v>
      </c>
      <c r="V36" s="33" t="n">
        <f aca="false">V35+M36</f>
        <v>82.8278302688692</v>
      </c>
      <c r="W36" s="33" t="n">
        <f aca="false">N36+Q35*Assumptions!$E$20+P36*Assumptions!$E$21+R35*Assumptions!$E$22+T35*Assumptions!$E$24+U35*Assumptions!$E$25</f>
        <v>3.92500399632557</v>
      </c>
      <c r="X36" s="33" t="n">
        <f aca="false">IF(A36&lt;Assumptions!$E$34,0,Assumptions!$E$36*MIN(1,(A36-Assumptions!$E$34+1)/Assumptions!$E$35))*(S36+T36)</f>
        <v>52.4685036272286</v>
      </c>
      <c r="Y36" s="31" t="n">
        <f aca="false">IF(Y35&gt;0,Y35,IF(AND(A36&gt;=Assumptions!$E$41,Q35+R35+T35&gt;=Assumptions!$E$40),A36,0))</f>
        <v>9</v>
      </c>
      <c r="Z36" s="33" t="n">
        <f aca="false">IF(Y36&gt;0,Assumptions!$E$42*MIN(1,(A36-Y36+1)/Assumptions!$E$43),0)*(S36+T36)</f>
        <v>87.447506045381</v>
      </c>
      <c r="AA36" s="35" t="n">
        <f aca="false">(1+Assumptions!$E$32)^(C36-1)</f>
        <v>1.1025</v>
      </c>
      <c r="AB36" s="36" t="n">
        <f aca="false">O36*Assumptions!$E$27*AA36</f>
        <v>867.856974145626</v>
      </c>
      <c r="AC36" s="36" t="n">
        <f aca="false">(Q35+R35)*Assumptions!$E$28*AA36</f>
        <v>15991.2872955661</v>
      </c>
      <c r="AD36" s="36" t="n">
        <f aca="false">M36*Assumptions!$E$29*AA36</f>
        <v>1973.39088675629</v>
      </c>
      <c r="AE36" s="36" t="n">
        <f aca="false">T35*Assumptions!$E$30*AA36</f>
        <v>1937.64953523811</v>
      </c>
      <c r="AF36" s="36" t="n">
        <f aca="false">U35*Assumptions!$E$31*AA36</f>
        <v>4536.06771774323</v>
      </c>
      <c r="AG36" s="36" t="n">
        <f aca="false">X36*Assumptions!$E$37*Assumptions!$E$38</f>
        <v>5246.85036272286</v>
      </c>
      <c r="AH36" s="36" t="n">
        <f aca="false">Z36*Assumptions!$E$44*Assumptions!$E$45</f>
        <v>3060.66271158834</v>
      </c>
      <c r="AI36" s="36" t="n">
        <f aca="false">SUM(AB36:AH36)</f>
        <v>33613.7654837605</v>
      </c>
      <c r="AJ36" s="36" t="n">
        <f aca="false">(S36*Assumptions!$E$28+T36*Assumptions!$E$30+U36*Assumptions!$E$31)*AA36+AG36+AH36</f>
        <v>31588.8954223963</v>
      </c>
      <c r="AK36" s="36" t="n">
        <f aca="false">(AI36-AH36)*Assumptions!$E$49</f>
        <v>1069.35859702603</v>
      </c>
      <c r="AL36" s="36" t="n">
        <f aca="false">(AC36+AE36+AF36)*Assumptions!$E$50</f>
        <v>157.255031839832</v>
      </c>
      <c r="AM36" s="36" t="n">
        <f aca="false">S36*Assumptions!$E$51+M36*Assumptions!$E$52</f>
        <v>243.65620772111</v>
      </c>
      <c r="AN36" s="36" t="n">
        <f aca="false">Assumptions!$E$53+Assumptions!$E$54*(S36+T36+U36)</f>
        <v>491.156339769621</v>
      </c>
      <c r="AO36" s="36" t="n">
        <f aca="false">IF(C36&gt;=2,Assumptions!$E$55,0)</f>
        <v>200</v>
      </c>
      <c r="AP36" s="33" t="n">
        <f aca="false">E36*Assumptions!$E$60/60+F36*Assumptions!$E$61+J36*Assumptions!$E$62+(S36+T36)*Assumptions!$E$63+X36*Assumptions!$E$64+Z36*Assumptions!$E$65+U36*Assumptions!$E$66+Assumptions!$E$67*52/12</f>
        <v>365.430740288027</v>
      </c>
      <c r="AQ36" s="33" t="n">
        <f aca="false">IF(BC35=1,Assumptions!$E$69,Assumptions!$E$68)*52/12</f>
        <v>346.666666666667</v>
      </c>
      <c r="AR36" s="33" t="n">
        <f aca="false">MAX(0,AP36-AQ36)</f>
        <v>18.7640736213602</v>
      </c>
      <c r="AS36" s="36" t="n">
        <f aca="false">AR36*Assumptions!$E$70*Assumptions!$E$71</f>
        <v>180.135106765058</v>
      </c>
      <c r="AT36" s="36" t="n">
        <f aca="false">Assumptions!$E$56/12</f>
        <v>66.6666666666667</v>
      </c>
      <c r="AU36" s="36" t="n">
        <f aca="false">IF(A36=1,Assumptions!$E$57,0)+Assumptions!$E$58</f>
        <v>40</v>
      </c>
      <c r="AV36" s="36" t="n">
        <f aca="false">IF(AND(Y36&gt;0,Y36=A36),Assumptions!$E$46,0)+IF(Y36&gt;0,Assumptions!$E$47,0)</f>
        <v>50</v>
      </c>
      <c r="AW36" s="36" t="n">
        <f aca="false">AK36+AL36+AM36+AN36+AO36+AS36+AT36+AU36+AV36</f>
        <v>2498.22794978831</v>
      </c>
      <c r="AX36" s="36" t="n">
        <f aca="false">AI36-AW36</f>
        <v>31115.5375339722</v>
      </c>
      <c r="AY36" s="36" t="n">
        <f aca="false">MAX(0,AX36)*Assumptions!$E$73</f>
        <v>7778.88438349306</v>
      </c>
      <c r="AZ36" s="36" t="n">
        <f aca="false">AX36-AY36</f>
        <v>23336.6531504792</v>
      </c>
      <c r="BA36" s="36" t="n">
        <f aca="false">BA35+AZ36</f>
        <v>333930.45628037</v>
      </c>
      <c r="BB36" s="31" t="n">
        <f aca="false">IF(AZ36&gt;=Assumptions!$E$74/12,BB35+1,0)</f>
        <v>7</v>
      </c>
      <c r="BC36" s="31" t="n">
        <f aca="false">IF(OR(BC35=1,BB36&gt;=3),1,0)</f>
        <v>1</v>
      </c>
      <c r="BD36" s="31" t="n">
        <f aca="false">IF(AZ36&gt;=Assumptions!$E$75/12,BD35+1,0)</f>
        <v>18</v>
      </c>
      <c r="BE36" s="33" t="n">
        <f aca="false">AP36*12/52</f>
        <v>84.3301708356985</v>
      </c>
      <c r="BF36" s="33" t="n">
        <f aca="false">AR36*12/52</f>
        <v>4.3301708356985</v>
      </c>
      <c r="BG36" s="31" t="n">
        <f aca="false">IF(AX36&gt;0,A36,999)</f>
        <v>32</v>
      </c>
      <c r="BH36" s="31" t="n">
        <f aca="false">IF(BB36&gt;=3,A36,999)</f>
        <v>32</v>
      </c>
      <c r="BI36" s="31" t="n">
        <f aca="false">IF(BD36&gt;=3,A36,999)</f>
        <v>32</v>
      </c>
    </row>
    <row r="37" customFormat="false" ht="15" hidden="false" customHeight="false" outlineLevel="0" collapsed="false">
      <c r="A37" s="31" t="n">
        <v>33</v>
      </c>
      <c r="B37" s="32" t="n">
        <f aca="false">DATE(2026,10+A37,1)</f>
        <v>47300</v>
      </c>
      <c r="C37" s="31" t="n">
        <f aca="false">INT((A37-1)/12)+1</f>
        <v>3</v>
      </c>
      <c r="D37" s="31" t="n">
        <f aca="false">IF(C37=1,Assumptions!$E$7,IF(C37=2,Assumptions!$E$8,Assumptions!$E$9))</f>
        <v>30</v>
      </c>
      <c r="E37" s="31" t="n">
        <f aca="false">D37*Assumptions!$E$10</f>
        <v>660</v>
      </c>
      <c r="F37" s="33" t="n">
        <f aca="false">E37*Assumptions!$E$11</f>
        <v>66</v>
      </c>
      <c r="G37" s="34" t="n">
        <f aca="false">MIN(1,Assumptions!$E$13+(1-Assumptions!$E$13)*(A37-1)/Assumptions!$E$14)</f>
        <v>1</v>
      </c>
      <c r="H37" s="33" t="n">
        <f aca="false">F37*Assumptions!$E$12*G37</f>
        <v>9.9</v>
      </c>
      <c r="I37" s="33" t="n">
        <f aca="false">Assumptions!$E$15*(Q36+R36+T36+U36)</f>
        <v>2.78367254827215</v>
      </c>
      <c r="J37" s="33" t="n">
        <f aca="false">H37+I37</f>
        <v>12.6836725482722</v>
      </c>
      <c r="K37" s="33" t="n">
        <f aca="false">J37*Assumptions!$E$18</f>
        <v>0.634183627413608</v>
      </c>
      <c r="L37" s="33" t="n">
        <f aca="false">(J37-K37)*Assumptions!$E$17</f>
        <v>8.43464224460098</v>
      </c>
      <c r="M37" s="33" t="n">
        <f aca="false">J37-K37-L37</f>
        <v>3.61484667625757</v>
      </c>
      <c r="N37" s="33" t="n">
        <f aca="false">L37*Assumptions!$E$19</f>
        <v>0.421732112230049</v>
      </c>
      <c r="O37" s="33" t="n">
        <f aca="false">L37-N37</f>
        <v>8.01291013237093</v>
      </c>
      <c r="P37" s="33" t="n">
        <f aca="false">O25*(1-Assumptions!$E$20)^12</f>
        <v>5.87386705780685</v>
      </c>
      <c r="Q37" s="33" t="n">
        <f aca="false">Q36*(1-Assumptions!$E$20)+O37-P37</f>
        <v>86.6037665770492</v>
      </c>
      <c r="R37" s="33" t="n">
        <f aca="false">R36*(1-Assumptions!$E$22)+P37*(1-Assumptions!$E$21)</f>
        <v>70.6032312175916</v>
      </c>
      <c r="S37" s="33" t="n">
        <f aca="false">Q37+R37</f>
        <v>157.206997794641</v>
      </c>
      <c r="T37" s="33" t="n">
        <f aca="false">T36*(1-Assumptions!$E$24)+M37*Assumptions!$E$23</f>
        <v>23.769812960969</v>
      </c>
      <c r="U37" s="33" t="n">
        <f aca="false">U36*(1-Assumptions!$E$25)+K37</f>
        <v>11.0502624766107</v>
      </c>
      <c r="V37" s="33" t="n">
        <f aca="false">V36+M37</f>
        <v>86.4426769451267</v>
      </c>
      <c r="W37" s="33" t="n">
        <f aca="false">N37+Q36*Assumptions!$E$20+P37*Assumptions!$E$21+R36*Assumptions!$E$22+T36*Assumptions!$E$24+U36*Assumptions!$E$25</f>
        <v>4.06586119510753</v>
      </c>
      <c r="X37" s="33" t="n">
        <f aca="false">IF(A37&lt;Assumptions!$E$34,0,Assumptions!$E$36*MIN(1,(A37-Assumptions!$E$34+1)/Assumptions!$E$35))*(S37+T37)</f>
        <v>54.2930432266829</v>
      </c>
      <c r="Y37" s="31" t="n">
        <f aca="false">IF(Y36&gt;0,Y36,IF(AND(A37&gt;=Assumptions!$E$41,Q36+R36+T36&gt;=Assumptions!$E$40),A37,0))</f>
        <v>9</v>
      </c>
      <c r="Z37" s="33" t="n">
        <f aca="false">IF(Y37&gt;0,Assumptions!$E$42*MIN(1,(A37-Y37+1)/Assumptions!$E$43),0)*(S37+T37)</f>
        <v>90.4884053778049</v>
      </c>
      <c r="AA37" s="35" t="n">
        <f aca="false">(1+Assumptions!$E$32)^(C37-1)</f>
        <v>1.1025</v>
      </c>
      <c r="AB37" s="36" t="n">
        <f aca="false">O37*Assumptions!$E$27*AA37</f>
        <v>874.589108672956</v>
      </c>
      <c r="AC37" s="36" t="n">
        <f aca="false">(Q36+R36)*Assumptions!$E$28*AA37</f>
        <v>16577.3996526727</v>
      </c>
      <c r="AD37" s="36" t="n">
        <f aca="false">M37*Assumptions!$E$29*AA37</f>
        <v>1988.69886182641</v>
      </c>
      <c r="AE37" s="36" t="n">
        <f aca="false">T36*Assumptions!$E$30*AA37</f>
        <v>2004.48828970501</v>
      </c>
      <c r="AF37" s="36" t="n">
        <f aca="false">U36*Assumptions!$E$31*AA37</f>
        <v>4699.49440570734</v>
      </c>
      <c r="AG37" s="36" t="n">
        <f aca="false">X37*Assumptions!$E$37*Assumptions!$E$38</f>
        <v>5429.30432266829</v>
      </c>
      <c r="AH37" s="36" t="n">
        <f aca="false">Z37*Assumptions!$E$44*Assumptions!$E$45</f>
        <v>3167.09418822317</v>
      </c>
      <c r="AI37" s="36" t="n">
        <f aca="false">SUM(AB37:AH37)</f>
        <v>34741.0688294759</v>
      </c>
      <c r="AJ37" s="36" t="n">
        <f aca="false">(S37*Assumptions!$E$28+T37*Assumptions!$E$30+U37*Assumptions!$E$31)*AA37+AG37+AH37</f>
        <v>32686.4234248549</v>
      </c>
      <c r="AK37" s="36" t="n">
        <f aca="false">(AI37-AH37)*Assumptions!$E$49</f>
        <v>1105.08911244385</v>
      </c>
      <c r="AL37" s="36" t="n">
        <f aca="false">(AC37+AE37+AF37)*Assumptions!$E$50</f>
        <v>162.969676436595</v>
      </c>
      <c r="AM37" s="36" t="n">
        <f aca="false">S37*Assumptions!$E$51+M37*Assumptions!$E$52</f>
        <v>250.731447387164</v>
      </c>
      <c r="AN37" s="36" t="n">
        <f aca="false">Assumptions!$E$53+Assumptions!$E$54*(S37+T37+U37)</f>
        <v>504.054146464441</v>
      </c>
      <c r="AO37" s="36" t="n">
        <f aca="false">IF(C37&gt;=2,Assumptions!$E$55,0)</f>
        <v>200</v>
      </c>
      <c r="AP37" s="33" t="n">
        <f aca="false">E37*Assumptions!$E$60/60+F37*Assumptions!$E$61+J37*Assumptions!$E$62+(S37+T37)*Assumptions!$E$63+X37*Assumptions!$E$64+Z37*Assumptions!$E$65+U37*Assumptions!$E$66+Assumptions!$E$67*52/12</f>
        <v>375.471095456645</v>
      </c>
      <c r="AQ37" s="33" t="n">
        <f aca="false">IF(BC36=1,Assumptions!$E$69,Assumptions!$E$68)*52/12</f>
        <v>346.666666666667</v>
      </c>
      <c r="AR37" s="33" t="n">
        <f aca="false">MAX(0,AP37-AQ37)</f>
        <v>28.8044287899778</v>
      </c>
      <c r="AS37" s="36" t="n">
        <f aca="false">AR37*Assumptions!$E$70*Assumptions!$E$71</f>
        <v>276.522516383787</v>
      </c>
      <c r="AT37" s="36" t="n">
        <f aca="false">Assumptions!$E$56/12</f>
        <v>66.6666666666667</v>
      </c>
      <c r="AU37" s="36" t="n">
        <f aca="false">IF(A37=1,Assumptions!$E$57,0)+Assumptions!$E$58</f>
        <v>40</v>
      </c>
      <c r="AV37" s="36" t="n">
        <f aca="false">IF(AND(Y37&gt;0,Y37=A37),Assumptions!$E$46,0)+IF(Y37&gt;0,Assumptions!$E$47,0)</f>
        <v>50</v>
      </c>
      <c r="AW37" s="36" t="n">
        <f aca="false">AK37+AL37+AM37+AN37+AO37+AS37+AT37+AU37+AV37</f>
        <v>2656.0335657825</v>
      </c>
      <c r="AX37" s="36" t="n">
        <f aca="false">AI37-AW37</f>
        <v>32085.0352636934</v>
      </c>
      <c r="AY37" s="36" t="n">
        <f aca="false">MAX(0,AX37)*Assumptions!$E$73</f>
        <v>8021.25881592335</v>
      </c>
      <c r="AZ37" s="36" t="n">
        <f aca="false">AX37-AY37</f>
        <v>24063.77644777</v>
      </c>
      <c r="BA37" s="36" t="n">
        <f aca="false">BA36+AZ37</f>
        <v>357994.23272814</v>
      </c>
      <c r="BB37" s="31" t="n">
        <f aca="false">IF(AZ37&gt;=Assumptions!$E$74/12,BB36+1,0)</f>
        <v>8</v>
      </c>
      <c r="BC37" s="31" t="n">
        <f aca="false">IF(OR(BC36=1,BB37&gt;=3),1,0)</f>
        <v>1</v>
      </c>
      <c r="BD37" s="31" t="n">
        <f aca="false">IF(AZ37&gt;=Assumptions!$E$75/12,BD36+1,0)</f>
        <v>19</v>
      </c>
      <c r="BE37" s="33" t="n">
        <f aca="false">AP37*12/52</f>
        <v>86.6471758746103</v>
      </c>
      <c r="BF37" s="33" t="n">
        <f aca="false">AR37*12/52</f>
        <v>6.64717587461026</v>
      </c>
      <c r="BG37" s="31" t="n">
        <f aca="false">IF(AX37&gt;0,A37,999)</f>
        <v>33</v>
      </c>
      <c r="BH37" s="31" t="n">
        <f aca="false">IF(BB37&gt;=3,A37,999)</f>
        <v>33</v>
      </c>
      <c r="BI37" s="31" t="n">
        <f aca="false">IF(BD37&gt;=3,A37,999)</f>
        <v>33</v>
      </c>
    </row>
    <row r="38" customFormat="false" ht="15" hidden="false" customHeight="false" outlineLevel="0" collapsed="false">
      <c r="A38" s="31" t="n">
        <v>34</v>
      </c>
      <c r="B38" s="32" t="n">
        <f aca="false">DATE(2026,10+A38,1)</f>
        <v>47331</v>
      </c>
      <c r="C38" s="31" t="n">
        <f aca="false">INT((A38-1)/12)+1</f>
        <v>3</v>
      </c>
      <c r="D38" s="31" t="n">
        <f aca="false">IF(C38=1,Assumptions!$E$7,IF(C38=2,Assumptions!$E$8,Assumptions!$E$9))</f>
        <v>30</v>
      </c>
      <c r="E38" s="31" t="n">
        <f aca="false">D38*Assumptions!$E$10</f>
        <v>660</v>
      </c>
      <c r="F38" s="33" t="n">
        <f aca="false">E38*Assumptions!$E$11</f>
        <v>66</v>
      </c>
      <c r="G38" s="34" t="n">
        <f aca="false">MIN(1,Assumptions!$E$13+(1-Assumptions!$E$13)*(A38-1)/Assumptions!$E$14)</f>
        <v>1</v>
      </c>
      <c r="H38" s="33" t="n">
        <f aca="false">F38*Assumptions!$E$12*G38</f>
        <v>9.9</v>
      </c>
      <c r="I38" s="33" t="n">
        <f aca="false">Assumptions!$E$15*(Q37+R37+T37+U37)</f>
        <v>2.88040609848331</v>
      </c>
      <c r="J38" s="33" t="n">
        <f aca="false">H38+I38</f>
        <v>12.7804060984833</v>
      </c>
      <c r="K38" s="33" t="n">
        <f aca="false">J38*Assumptions!$E$18</f>
        <v>0.639020304924165</v>
      </c>
      <c r="L38" s="33" t="n">
        <f aca="false">(J38-K38)*Assumptions!$E$17</f>
        <v>8.4989700554914</v>
      </c>
      <c r="M38" s="33" t="n">
        <f aca="false">J38-K38-L38</f>
        <v>3.64241573806774</v>
      </c>
      <c r="N38" s="33" t="n">
        <f aca="false">L38*Assumptions!$E$19</f>
        <v>0.42494850277457</v>
      </c>
      <c r="O38" s="33" t="n">
        <f aca="false">L38-N38</f>
        <v>8.07402155271683</v>
      </c>
      <c r="P38" s="33" t="n">
        <f aca="false">O26*(1-Assumptions!$E$20)^12</f>
        <v>5.92692866488937</v>
      </c>
      <c r="Q38" s="33" t="n">
        <f aca="false">Q37*(1-Assumptions!$E$20)+O38-P38</f>
        <v>88.3178406319914</v>
      </c>
      <c r="R38" s="33" t="n">
        <f aca="false">R37*(1-Assumptions!$E$22)+P38*(1-Assumptions!$E$21)</f>
        <v>74.1723862355523</v>
      </c>
      <c r="S38" s="33" t="n">
        <f aca="false">Q38+R38</f>
        <v>162.490226867544</v>
      </c>
      <c r="T38" s="33" t="n">
        <f aca="false">T37*(1-Assumptions!$E$24)+M38*Assumptions!$E$23</f>
        <v>24.513684867367</v>
      </c>
      <c r="U38" s="33" t="n">
        <f aca="false">U37*(1-Assumptions!$E$25)+K38</f>
        <v>11.4130262196196</v>
      </c>
      <c r="V38" s="33" t="n">
        <f aca="false">V37+M38</f>
        <v>90.0850926831945</v>
      </c>
      <c r="W38" s="33" t="n">
        <f aca="false">N38+Q37*Assumptions!$E$20+P38*Assumptions!$E$21+R37*Assumptions!$E$22+T37*Assumptions!$E$24+U37*Assumptions!$E$25</f>
        <v>4.20509193333288</v>
      </c>
      <c r="X38" s="33" t="n">
        <f aca="false">IF(A38&lt;Assumptions!$E$34,0,Assumptions!$E$36*MIN(1,(A38-Assumptions!$E$34+1)/Assumptions!$E$35))*(S38+T38)</f>
        <v>56.1011735204732</v>
      </c>
      <c r="Y38" s="31" t="n">
        <f aca="false">IF(Y37&gt;0,Y37,IF(AND(A38&gt;=Assumptions!$E$41,Q37+R37+T37&gt;=Assumptions!$E$40),A38,0))</f>
        <v>9</v>
      </c>
      <c r="Z38" s="33" t="n">
        <f aca="false">IF(Y38&gt;0,Assumptions!$E$42*MIN(1,(A38-Y38+1)/Assumptions!$E$43),0)*(S38+T38)</f>
        <v>93.5019558674553</v>
      </c>
      <c r="AA38" s="35" t="n">
        <f aca="false">(1+Assumptions!$E$32)^(C38-1)</f>
        <v>1.1025</v>
      </c>
      <c r="AB38" s="36" t="n">
        <f aca="false">O38*Assumptions!$E$27*AA38</f>
        <v>881.25926742516</v>
      </c>
      <c r="AC38" s="36" t="n">
        <f aca="false">(Q37+R37)*Assumptions!$E$28*AA38</f>
        <v>17158.7507917906</v>
      </c>
      <c r="AD38" s="36" t="n">
        <f aca="false">M38*Assumptions!$E$29*AA38</f>
        <v>2003.86591225862</v>
      </c>
      <c r="AE38" s="36" t="n">
        <f aca="false">T37*Assumptions!$E$30*AA38</f>
        <v>2070.291284368</v>
      </c>
      <c r="AF38" s="36" t="n">
        <f aca="false">U37*Assumptions!$E$31*AA38</f>
        <v>4860.98283780484</v>
      </c>
      <c r="AG38" s="36" t="n">
        <f aca="false">X38*Assumptions!$E$37*Assumptions!$E$38</f>
        <v>5610.11735204732</v>
      </c>
      <c r="AH38" s="36" t="n">
        <f aca="false">Z38*Assumptions!$E$44*Assumptions!$E$45</f>
        <v>3272.56845536094</v>
      </c>
      <c r="AI38" s="36" t="n">
        <f aca="false">SUM(AB38:AH38)</f>
        <v>35857.8359010554</v>
      </c>
      <c r="AJ38" s="36" t="n">
        <f aca="false">(S38*Assumptions!$E$28+T38*Assumptions!$E$30+U38*Assumptions!$E$31)*AA38+AG38+AH38</f>
        <v>33773.7302136141</v>
      </c>
      <c r="AK38" s="36" t="n">
        <f aca="false">(AI38-AH38)*Assumptions!$E$49</f>
        <v>1140.48436059931</v>
      </c>
      <c r="AL38" s="36" t="n">
        <f aca="false">(AC38+AE38+AF38)*Assumptions!$E$50</f>
        <v>168.630174397744</v>
      </c>
      <c r="AM38" s="36" t="n">
        <f aca="false">S38*Assumptions!$E$51+M38*Assumptions!$E$52</f>
        <v>257.749019655446</v>
      </c>
      <c r="AN38" s="36" t="n">
        <f aca="false">Assumptions!$E$53+Assumptions!$E$54*(S38+T38+U38)</f>
        <v>516.833875909061</v>
      </c>
      <c r="AO38" s="36" t="n">
        <f aca="false">IF(C38&gt;=2,Assumptions!$E$55,0)</f>
        <v>200</v>
      </c>
      <c r="AP38" s="33" t="n">
        <f aca="false">E38*Assumptions!$E$60/60+F38*Assumptions!$E$61+J38*Assumptions!$E$62+(S38+T38)*Assumptions!$E$63+X38*Assumptions!$E$64+Z38*Assumptions!$E$65+U38*Assumptions!$E$66+Assumptions!$E$67*52/12</f>
        <v>385.415923294579</v>
      </c>
      <c r="AQ38" s="33" t="n">
        <f aca="false">IF(BC37=1,Assumptions!$E$69,Assumptions!$E$68)*52/12</f>
        <v>346.666666666667</v>
      </c>
      <c r="AR38" s="33" t="n">
        <f aca="false">MAX(0,AP38-AQ38)</f>
        <v>38.7492566279127</v>
      </c>
      <c r="AS38" s="36" t="n">
        <f aca="false">AR38*Assumptions!$E$70*Assumptions!$E$71</f>
        <v>371.992863627962</v>
      </c>
      <c r="AT38" s="36" t="n">
        <f aca="false">Assumptions!$E$56/12</f>
        <v>66.6666666666667</v>
      </c>
      <c r="AU38" s="36" t="n">
        <f aca="false">IF(A38=1,Assumptions!$E$57,0)+Assumptions!$E$58</f>
        <v>40</v>
      </c>
      <c r="AV38" s="36" t="n">
        <f aca="false">IF(AND(Y38&gt;0,Y38=A38),Assumptions!$E$46,0)+IF(Y38&gt;0,Assumptions!$E$47,0)</f>
        <v>50</v>
      </c>
      <c r="AW38" s="36" t="n">
        <f aca="false">AK38+AL38+AM38+AN38+AO38+AS38+AT38+AU38+AV38</f>
        <v>2812.35696085619</v>
      </c>
      <c r="AX38" s="36" t="n">
        <f aca="false">AI38-AW38</f>
        <v>33045.4789401992</v>
      </c>
      <c r="AY38" s="36" t="n">
        <f aca="false">MAX(0,AX38)*Assumptions!$E$73</f>
        <v>8261.36973504981</v>
      </c>
      <c r="AZ38" s="36" t="n">
        <f aca="false">AX38-AY38</f>
        <v>24784.1092051494</v>
      </c>
      <c r="BA38" s="36" t="n">
        <f aca="false">BA37+AZ38</f>
        <v>382778.341933289</v>
      </c>
      <c r="BB38" s="31" t="n">
        <f aca="false">IF(AZ38&gt;=Assumptions!$E$74/12,BB37+1,0)</f>
        <v>9</v>
      </c>
      <c r="BC38" s="31" t="n">
        <f aca="false">IF(OR(BC37=1,BB38&gt;=3),1,0)</f>
        <v>1</v>
      </c>
      <c r="BD38" s="31" t="n">
        <f aca="false">IF(AZ38&gt;=Assumptions!$E$75/12,BD37+1,0)</f>
        <v>20</v>
      </c>
      <c r="BE38" s="33" t="n">
        <f aca="false">AP38*12/52</f>
        <v>88.9421361449029</v>
      </c>
      <c r="BF38" s="33" t="n">
        <f aca="false">AR38*12/52</f>
        <v>8.94213614490293</v>
      </c>
      <c r="BG38" s="31" t="n">
        <f aca="false">IF(AX38&gt;0,A38,999)</f>
        <v>34</v>
      </c>
      <c r="BH38" s="31" t="n">
        <f aca="false">IF(BB38&gt;=3,A38,999)</f>
        <v>34</v>
      </c>
      <c r="BI38" s="31" t="n">
        <f aca="false">IF(BD38&gt;=3,A38,999)</f>
        <v>34</v>
      </c>
    </row>
    <row r="39" customFormat="false" ht="15" hidden="false" customHeight="false" outlineLevel="0" collapsed="false">
      <c r="A39" s="31" t="n">
        <v>35</v>
      </c>
      <c r="B39" s="32" t="n">
        <f aca="false">DATE(2026,10+A39,1)</f>
        <v>47362</v>
      </c>
      <c r="C39" s="31" t="n">
        <f aca="false">INT((A39-1)/12)+1</f>
        <v>3</v>
      </c>
      <c r="D39" s="31" t="n">
        <f aca="false">IF(C39=1,Assumptions!$E$7,IF(C39=2,Assumptions!$E$8,Assumptions!$E$9))</f>
        <v>30</v>
      </c>
      <c r="E39" s="31" t="n">
        <f aca="false">D39*Assumptions!$E$10</f>
        <v>660</v>
      </c>
      <c r="F39" s="33" t="n">
        <f aca="false">E39*Assumptions!$E$11</f>
        <v>66</v>
      </c>
      <c r="G39" s="34" t="n">
        <f aca="false">MIN(1,Assumptions!$E$13+(1-Assumptions!$E$13)*(A39-1)/Assumptions!$E$14)</f>
        <v>1</v>
      </c>
      <c r="H39" s="33" t="n">
        <f aca="false">F39*Assumptions!$E$12*G39</f>
        <v>9.9</v>
      </c>
      <c r="I39" s="33" t="n">
        <f aca="false">Assumptions!$E$15*(Q38+R38+T38+U38)</f>
        <v>2.97625406931795</v>
      </c>
      <c r="J39" s="33" t="n">
        <f aca="false">H39+I39</f>
        <v>12.876254069318</v>
      </c>
      <c r="K39" s="33" t="n">
        <f aca="false">J39*Assumptions!$E$18</f>
        <v>0.643812703465898</v>
      </c>
      <c r="L39" s="33" t="n">
        <f aca="false">(J39-K39)*Assumptions!$E$17</f>
        <v>8.56270895609644</v>
      </c>
      <c r="M39" s="33" t="n">
        <f aca="false">J39-K39-L39</f>
        <v>3.66973240975562</v>
      </c>
      <c r="N39" s="33" t="n">
        <f aca="false">L39*Assumptions!$E$19</f>
        <v>0.428135447804822</v>
      </c>
      <c r="O39" s="33" t="n">
        <f aca="false">L39-N39</f>
        <v>8.13457350829162</v>
      </c>
      <c r="P39" s="33" t="n">
        <f aca="false">O27*(1-Assumptions!$E$20)^12</f>
        <v>5.9795187741532</v>
      </c>
      <c r="Q39" s="33" t="n">
        <f aca="false">Q38*(1-Assumptions!$E$20)+O39-P39</f>
        <v>90.0313061629698</v>
      </c>
      <c r="R39" s="33" t="n">
        <f aca="false">R38*(1-Assumptions!$E$22)+P39*(1-Assumptions!$E$21)</f>
        <v>77.6996434764013</v>
      </c>
      <c r="S39" s="33" t="n">
        <f aca="false">Q39+R39</f>
        <v>167.730949639371</v>
      </c>
      <c r="T39" s="33" t="n">
        <f aca="false">T38*(1-Assumptions!$E$24)+M39*Assumptions!$E$23</f>
        <v>25.2461672852482</v>
      </c>
      <c r="U39" s="33" t="n">
        <f aca="false">U38*(1-Assumptions!$E$25)+K39</f>
        <v>11.771513267595</v>
      </c>
      <c r="V39" s="33" t="n">
        <f aca="false">V38+M39</f>
        <v>93.7548250929501</v>
      </c>
      <c r="W39" s="33" t="n">
        <f aca="false">N39+Q38*Assumptions!$E$20+P39*Assumptions!$E$21+R38*Assumptions!$E$22+T38*Assumptions!$E$24+U38*Assumptions!$E$25</f>
        <v>4.34272238578041</v>
      </c>
      <c r="X39" s="33" t="n">
        <f aca="false">IF(A39&lt;Assumptions!$E$34,0,Assumptions!$E$36*MIN(1,(A39-Assumptions!$E$34+1)/Assumptions!$E$35))*(S39+T39)</f>
        <v>57.8931350773858</v>
      </c>
      <c r="Y39" s="31" t="n">
        <f aca="false">IF(Y38&gt;0,Y38,IF(AND(A39&gt;=Assumptions!$E$41,Q38+R38+T38&gt;=Assumptions!$E$40),A39,0))</f>
        <v>9</v>
      </c>
      <c r="Z39" s="33" t="n">
        <f aca="false">IF(Y39&gt;0,Assumptions!$E$42*MIN(1,(A39-Y39+1)/Assumptions!$E$43),0)*(S39+T39)</f>
        <v>96.4885584623097</v>
      </c>
      <c r="AA39" s="35" t="n">
        <f aca="false">(1+Assumptions!$E$32)^(C39-1)</f>
        <v>1.1025</v>
      </c>
      <c r="AB39" s="36" t="n">
        <f aca="false">O39*Assumptions!$E$27*AA39</f>
        <v>887.868361996259</v>
      </c>
      <c r="AC39" s="36" t="n">
        <f aca="false">(Q38+R38)*Assumptions!$E$28*AA39</f>
        <v>17735.4020370252</v>
      </c>
      <c r="AD39" s="36" t="n">
        <f aca="false">M39*Assumptions!$E$29*AA39</f>
        <v>2018.89411089603</v>
      </c>
      <c r="AE39" s="36" t="n">
        <f aca="false">T38*Assumptions!$E$30*AA39</f>
        <v>2135.0806677355</v>
      </c>
      <c r="AF39" s="36" t="n">
        <f aca="false">U38*Assumptions!$E$31*AA39</f>
        <v>5020.56170144509</v>
      </c>
      <c r="AG39" s="36" t="n">
        <f aca="false">X39*Assumptions!$E$37*Assumptions!$E$38</f>
        <v>5789.31350773858</v>
      </c>
      <c r="AH39" s="36" t="n">
        <f aca="false">Z39*Assumptions!$E$44*Assumptions!$E$45</f>
        <v>3377.09954618084</v>
      </c>
      <c r="AI39" s="36" t="n">
        <f aca="false">SUM(AB39:AH39)</f>
        <v>36964.2199330175</v>
      </c>
      <c r="AJ39" s="36" t="n">
        <f aca="false">(S39*Assumptions!$E$28+T39*Assumptions!$E$30+U39*Assumptions!$E$31)*AA39+AG39+AH39</f>
        <v>34850.9641924414</v>
      </c>
      <c r="AK39" s="36" t="n">
        <f aca="false">(AI39-AH39)*Assumptions!$E$49</f>
        <v>1175.54921353928</v>
      </c>
      <c r="AL39" s="36" t="n">
        <f aca="false">(AC39+AE39+AF39)*Assumptions!$E$50</f>
        <v>174.237310843441</v>
      </c>
      <c r="AM39" s="36" t="n">
        <f aca="false">S39*Assumptions!$E$51+M39*Assumptions!$E$52</f>
        <v>264.709673195548</v>
      </c>
      <c r="AN39" s="36" t="n">
        <f aca="false">Assumptions!$E$53+Assumptions!$E$54*(S39+T39+U39)</f>
        <v>529.497260384429</v>
      </c>
      <c r="AO39" s="36" t="n">
        <f aca="false">IF(C39&gt;=2,Assumptions!$E$55,0)</f>
        <v>200</v>
      </c>
      <c r="AP39" s="33" t="n">
        <f aca="false">E39*Assumptions!$E$60/60+F39*Assumptions!$E$61+J39*Assumptions!$E$62+(S39+T39)*Assumptions!$E$63+X39*Assumptions!$E$64+Z39*Assumptions!$E$65+U39*Assumptions!$E$66+Assumptions!$E$67*52/12</f>
        <v>395.266627367072</v>
      </c>
      <c r="AQ39" s="33" t="n">
        <f aca="false">IF(BC38=1,Assumptions!$E$69,Assumptions!$E$68)*52/12</f>
        <v>346.666666666667</v>
      </c>
      <c r="AR39" s="33" t="n">
        <f aca="false">MAX(0,AP39-AQ39)</f>
        <v>48.5999607004057</v>
      </c>
      <c r="AS39" s="36" t="n">
        <f aca="false">AR39*Assumptions!$E$70*Assumptions!$E$71</f>
        <v>466.559622723895</v>
      </c>
      <c r="AT39" s="36" t="n">
        <f aca="false">Assumptions!$E$56/12</f>
        <v>66.6666666666667</v>
      </c>
      <c r="AU39" s="36" t="n">
        <f aca="false">IF(A39=1,Assumptions!$E$57,0)+Assumptions!$E$58</f>
        <v>40</v>
      </c>
      <c r="AV39" s="36" t="n">
        <f aca="false">IF(AND(Y39&gt;0,Y39=A39),Assumptions!$E$46,0)+IF(Y39&gt;0,Assumptions!$E$47,0)</f>
        <v>50</v>
      </c>
      <c r="AW39" s="36" t="n">
        <f aca="false">AK39+AL39+AM39+AN39+AO39+AS39+AT39+AU39+AV39</f>
        <v>2967.21974735326</v>
      </c>
      <c r="AX39" s="36" t="n">
        <f aca="false">AI39-AW39</f>
        <v>33997.0001856643</v>
      </c>
      <c r="AY39" s="36" t="n">
        <f aca="false">MAX(0,AX39)*Assumptions!$E$73</f>
        <v>8499.25004641606</v>
      </c>
      <c r="AZ39" s="36" t="n">
        <f aca="false">AX39-AY39</f>
        <v>25497.7501392482</v>
      </c>
      <c r="BA39" s="36" t="n">
        <f aca="false">BA38+AZ39</f>
        <v>408276.092072537</v>
      </c>
      <c r="BB39" s="31" t="n">
        <f aca="false">IF(AZ39&gt;=Assumptions!$E$74/12,BB38+1,0)</f>
        <v>10</v>
      </c>
      <c r="BC39" s="31" t="n">
        <f aca="false">IF(OR(BC38=1,BB39&gt;=3),1,0)</f>
        <v>1</v>
      </c>
      <c r="BD39" s="31" t="n">
        <f aca="false">IF(AZ39&gt;=Assumptions!$E$75/12,BD38+1,0)</f>
        <v>21</v>
      </c>
      <c r="BE39" s="33" t="n">
        <f aca="false">AP39*12/52</f>
        <v>91.2153755462475</v>
      </c>
      <c r="BF39" s="33" t="n">
        <f aca="false">AR39*12/52</f>
        <v>11.2153755462475</v>
      </c>
      <c r="BG39" s="31" t="n">
        <f aca="false">IF(AX39&gt;0,A39,999)</f>
        <v>35</v>
      </c>
      <c r="BH39" s="31" t="n">
        <f aca="false">IF(BB39&gt;=3,A39,999)</f>
        <v>35</v>
      </c>
      <c r="BI39" s="31" t="n">
        <f aca="false">IF(BD39&gt;=3,A39,999)</f>
        <v>35</v>
      </c>
    </row>
    <row r="40" customFormat="false" ht="15" hidden="false" customHeight="false" outlineLevel="0" collapsed="false">
      <c r="A40" s="37" t="n">
        <v>36</v>
      </c>
      <c r="B40" s="38" t="n">
        <f aca="false">DATE(2026,10+A40,1)</f>
        <v>47392</v>
      </c>
      <c r="C40" s="37" t="n">
        <f aca="false">INT((A40-1)/12)+1</f>
        <v>3</v>
      </c>
      <c r="D40" s="37" t="n">
        <f aca="false">IF(C40=1,Assumptions!$E$7,IF(C40=2,Assumptions!$E$8,Assumptions!$E$9))</f>
        <v>30</v>
      </c>
      <c r="E40" s="37" t="n">
        <f aca="false">D40*Assumptions!$E$10</f>
        <v>660</v>
      </c>
      <c r="F40" s="39" t="n">
        <f aca="false">E40*Assumptions!$E$11</f>
        <v>66</v>
      </c>
      <c r="G40" s="40" t="n">
        <f aca="false">MIN(1,Assumptions!$E$13+(1-Assumptions!$E$13)*(A40-1)/Assumptions!$E$14)</f>
        <v>1</v>
      </c>
      <c r="H40" s="39" t="n">
        <f aca="false">F40*Assumptions!$E$12*G40</f>
        <v>9.9</v>
      </c>
      <c r="I40" s="39" t="n">
        <f aca="false">Assumptions!$E$15*(Q39+R39+T39+U39)</f>
        <v>3.07122945288322</v>
      </c>
      <c r="J40" s="39" t="n">
        <f aca="false">H40+I40</f>
        <v>12.9712294528832</v>
      </c>
      <c r="K40" s="39" t="n">
        <f aca="false">J40*Assumptions!$E$18</f>
        <v>0.648561472644161</v>
      </c>
      <c r="L40" s="39" t="n">
        <f aca="false">(J40-K40)*Assumptions!$E$17</f>
        <v>8.62586758616734</v>
      </c>
      <c r="M40" s="39" t="n">
        <f aca="false">J40-K40-L40</f>
        <v>3.69680039407172</v>
      </c>
      <c r="N40" s="39" t="n">
        <f aca="false">L40*Assumptions!$E$19</f>
        <v>0.431293379308367</v>
      </c>
      <c r="O40" s="39" t="n">
        <f aca="false">L40-N40</f>
        <v>8.19457420685897</v>
      </c>
      <c r="P40" s="39" t="n">
        <f aca="false">O28*(1-Assumptions!$E$20)^12</f>
        <v>6.03164400573339</v>
      </c>
      <c r="Q40" s="39" t="n">
        <f aca="false">Q39*(1-Assumptions!$E$20)+O40-P40</f>
        <v>91.7440798332806</v>
      </c>
      <c r="R40" s="39" t="n">
        <f aca="false">R39*(1-Assumptions!$E$22)+P40*(1-Assumptions!$E$21)</f>
        <v>81.1856319946513</v>
      </c>
      <c r="S40" s="39" t="n">
        <f aca="false">Q40+R40</f>
        <v>172.929711827932</v>
      </c>
      <c r="T40" s="39" t="n">
        <f aca="false">T39*(1-Assumptions!$E$24)+M40*Assumptions!$E$23</f>
        <v>25.9675024243195</v>
      </c>
      <c r="U40" s="39" t="n">
        <f aca="false">U39*(1-Assumptions!$E$25)+K40</f>
        <v>12.1257869085492</v>
      </c>
      <c r="V40" s="39" t="n">
        <f aca="false">V39+M40</f>
        <v>97.4516254870218</v>
      </c>
      <c r="W40" s="39" t="n">
        <f aca="false">N40+Q39*Assumptions!$E$20+P40*Assumptions!$E$21+R39*Assumptions!$E$22+T39*Assumptions!$E$24+U39*Assumptions!$E$25</f>
        <v>4.47877824785391</v>
      </c>
      <c r="X40" s="39" t="n">
        <f aca="false">IF(A40&lt;Assumptions!$E$34,0,Assumptions!$E$36*MIN(1,(A40-Assumptions!$E$34+1)/Assumptions!$E$35))*(S40+T40)</f>
        <v>59.6691642756754</v>
      </c>
      <c r="Y40" s="37" t="n">
        <f aca="false">IF(Y39&gt;0,Y39,IF(AND(A40&gt;=Assumptions!$E$41,Q39+R39+T39&gt;=Assumptions!$E$40),A40,0))</f>
        <v>9</v>
      </c>
      <c r="Z40" s="39" t="n">
        <f aca="false">IF(Y40&gt;0,Assumptions!$E$42*MIN(1,(A40-Y40+1)/Assumptions!$E$43),0)*(S40+T40)</f>
        <v>99.4486071261257</v>
      </c>
      <c r="AA40" s="41" t="n">
        <f aca="false">(1+Assumptions!$E$32)^(C40-1)</f>
        <v>1.1025</v>
      </c>
      <c r="AB40" s="42" t="n">
        <f aca="false">O40*Assumptions!$E$27*AA40</f>
        <v>894.41728824314</v>
      </c>
      <c r="AC40" s="42" t="n">
        <f aca="false">(Q39+R39)*Assumptions!$E$28*AA40</f>
        <v>18307.4138257633</v>
      </c>
      <c r="AD40" s="42" t="n">
        <f aca="false">M40*Assumptions!$E$29*AA40</f>
        <v>2033.78549479757</v>
      </c>
      <c r="AE40" s="42" t="n">
        <f aca="false">T39*Assumptions!$E$30*AA40</f>
        <v>2198.87805512691</v>
      </c>
      <c r="AF40" s="42" t="n">
        <f aca="false">U39*Assumptions!$E$31*AA40</f>
        <v>5178.25925763186</v>
      </c>
      <c r="AG40" s="42" t="n">
        <f aca="false">X40*Assumptions!$E$37*Assumptions!$E$38</f>
        <v>5966.91642756754</v>
      </c>
      <c r="AH40" s="42" t="n">
        <f aca="false">Z40*Assumptions!$E$44*Assumptions!$E$45</f>
        <v>3480.7012494144</v>
      </c>
      <c r="AI40" s="42" t="n">
        <f aca="false">SUM(AB40:AH40)</f>
        <v>38060.3715985447</v>
      </c>
      <c r="AJ40" s="42" t="n">
        <f aca="false">(S40*Assumptions!$E$28+T40*Assumptions!$E$30+U40*Assumptions!$E$31)*AA40+AG40+AH40</f>
        <v>35918.2712877269</v>
      </c>
      <c r="AK40" s="42" t="n">
        <f aca="false">(AI40-AH40)*Assumptions!$E$49</f>
        <v>1210.28846221956</v>
      </c>
      <c r="AL40" s="42" t="n">
        <f aca="false">(AC40+AE40+AF40)*Assumptions!$E$50</f>
        <v>179.791857969654</v>
      </c>
      <c r="AM40" s="42" t="n">
        <f aca="false">S40*Assumptions!$E$51+M40*Assumptions!$E$52</f>
        <v>271.614145695991</v>
      </c>
      <c r="AN40" s="42" t="n">
        <f aca="false">Assumptions!$E$53+Assumptions!$E$54*(S40+T40+U40)</f>
        <v>542.046002321601</v>
      </c>
      <c r="AO40" s="42" t="n">
        <f aca="false">IF(C40&gt;=2,Assumptions!$E$55,0)</f>
        <v>200</v>
      </c>
      <c r="AP40" s="39" t="n">
        <f aca="false">E40*Assumptions!$E$60/60+F40*Assumptions!$E$61+J40*Assumptions!$E$62+(S40+T40)*Assumptions!$E$63+X40*Assumptions!$E$64+Z40*Assumptions!$E$65+U40*Assumptions!$E$66+Assumptions!$E$67*52/12</f>
        <v>405.024587606304</v>
      </c>
      <c r="AQ40" s="39" t="n">
        <f aca="false">IF(BC39=1,Assumptions!$E$69,Assumptions!$E$68)*52/12</f>
        <v>346.666666666667</v>
      </c>
      <c r="AR40" s="39" t="n">
        <f aca="false">MAX(0,AP40-AQ40)</f>
        <v>58.3579209396375</v>
      </c>
      <c r="AS40" s="42" t="n">
        <f aca="false">AR40*Assumptions!$E$70*Assumptions!$E$71</f>
        <v>560.23604102052</v>
      </c>
      <c r="AT40" s="42" t="n">
        <f aca="false">Assumptions!$E$56/12</f>
        <v>66.6666666666667</v>
      </c>
      <c r="AU40" s="42" t="n">
        <f aca="false">IF(A40=1,Assumptions!$E$57,0)+Assumptions!$E$58</f>
        <v>40</v>
      </c>
      <c r="AV40" s="42" t="n">
        <f aca="false">IF(AND(Y40&gt;0,Y40=A40),Assumptions!$E$46,0)+IF(Y40&gt;0,Assumptions!$E$47,0)</f>
        <v>50</v>
      </c>
      <c r="AW40" s="42" t="n">
        <f aca="false">AK40+AL40+AM40+AN40+AO40+AS40+AT40+AU40+AV40</f>
        <v>3120.64317589399</v>
      </c>
      <c r="AX40" s="42" t="n">
        <f aca="false">AI40-AW40</f>
        <v>34939.7284226507</v>
      </c>
      <c r="AY40" s="42" t="n">
        <f aca="false">MAX(0,AX40)*Assumptions!$E$73</f>
        <v>8734.93210566267</v>
      </c>
      <c r="AZ40" s="42" t="n">
        <f aca="false">AX40-AY40</f>
        <v>26204.796316988</v>
      </c>
      <c r="BA40" s="42" t="n">
        <f aca="false">BA39+AZ40</f>
        <v>434480.888389525</v>
      </c>
      <c r="BB40" s="37" t="n">
        <f aca="false">IF(AZ40&gt;=Assumptions!$E$74/12,BB39+1,0)</f>
        <v>11</v>
      </c>
      <c r="BC40" s="37" t="n">
        <f aca="false">IF(OR(BC39=1,BB40&gt;=3),1,0)</f>
        <v>1</v>
      </c>
      <c r="BD40" s="37" t="n">
        <f aca="false">IF(AZ40&gt;=Assumptions!$E$75/12,BD39+1,0)</f>
        <v>22</v>
      </c>
      <c r="BE40" s="39" t="n">
        <f aca="false">AP40*12/52</f>
        <v>93.4672125245318</v>
      </c>
      <c r="BF40" s="39" t="n">
        <f aca="false">AR40*12/52</f>
        <v>13.4672125245317</v>
      </c>
      <c r="BG40" s="37" t="n">
        <f aca="false">IF(AX40&gt;0,A40,999)</f>
        <v>36</v>
      </c>
      <c r="BH40" s="37" t="n">
        <f aca="false">IF(BB40&gt;=3,A40,999)</f>
        <v>36</v>
      </c>
      <c r="BI40" s="37" t="n">
        <f aca="false">IF(BD40&gt;=3,A40,999)</f>
        <v>36</v>
      </c>
    </row>
    <row r="41" customFormat="false" ht="15" hidden="false" customHeight="false" outlineLevel="0" collapsed="false">
      <c r="A41" s="31" t="n">
        <v>37</v>
      </c>
      <c r="B41" s="32" t="n">
        <f aca="false">DATE(2026,10+A41,1)</f>
        <v>47423</v>
      </c>
      <c r="C41" s="31" t="n">
        <f aca="false">INT((A41-1)/12)+1</f>
        <v>4</v>
      </c>
      <c r="D41" s="31" t="n">
        <f aca="false">IF(C41=1,Assumptions!$E$7,IF(C41=2,Assumptions!$E$8,Assumptions!$E$9))</f>
        <v>30</v>
      </c>
      <c r="E41" s="31" t="n">
        <f aca="false">D41*Assumptions!$E$10</f>
        <v>660</v>
      </c>
      <c r="F41" s="33" t="n">
        <f aca="false">E41*Assumptions!$E$11</f>
        <v>66</v>
      </c>
      <c r="G41" s="34" t="n">
        <f aca="false">MIN(1,Assumptions!$E$13+(1-Assumptions!$E$13)*(A41-1)/Assumptions!$E$14)</f>
        <v>1</v>
      </c>
      <c r="H41" s="33" t="n">
        <f aca="false">F41*Assumptions!$E$12*G41</f>
        <v>9.9</v>
      </c>
      <c r="I41" s="33" t="n">
        <f aca="false">Assumptions!$E$15*(Q40+R40+T40+U40)</f>
        <v>3.16534501741201</v>
      </c>
      <c r="J41" s="33" t="n">
        <f aca="false">H41+I41</f>
        <v>13.065345017412</v>
      </c>
      <c r="K41" s="33" t="n">
        <f aca="false">J41*Assumptions!$E$18</f>
        <v>0.653267250870601</v>
      </c>
      <c r="L41" s="33" t="n">
        <f aca="false">(J41-K41)*Assumptions!$E$17</f>
        <v>8.68845443657899</v>
      </c>
      <c r="M41" s="33" t="n">
        <f aca="false">J41-K41-L41</f>
        <v>3.72362332996242</v>
      </c>
      <c r="N41" s="33" t="n">
        <f aca="false">L41*Assumptions!$E$19</f>
        <v>0.434422721828949</v>
      </c>
      <c r="O41" s="33" t="n">
        <f aca="false">L41-N41</f>
        <v>8.25403171475004</v>
      </c>
      <c r="P41" s="33" t="n">
        <f aca="false">O29*(1-Assumptions!$E$20)^12</f>
        <v>7.06484660982988</v>
      </c>
      <c r="Q41" s="33" t="n">
        <f aca="false">Q40*(1-Assumptions!$E$20)+O41-P41</f>
        <v>92.4745445390343</v>
      </c>
      <c r="R41" s="33" t="n">
        <f aca="false">R40*(1-Assumptions!$E$22)+P41*(1-Assumptions!$E$21)</f>
        <v>85.5143531436319</v>
      </c>
      <c r="S41" s="33" t="n">
        <f aca="false">Q41+R41</f>
        <v>177.988897682666</v>
      </c>
      <c r="T41" s="33" t="n">
        <f aca="false">T40*(1-Assumptions!$E$24)+M41*Assumptions!$E$23</f>
        <v>26.6779266835749</v>
      </c>
      <c r="U41" s="33" t="n">
        <f aca="false">U40*(1-Assumptions!$E$25)+K41</f>
        <v>12.4759094867061</v>
      </c>
      <c r="V41" s="33" t="n">
        <f aca="false">V40+M41</f>
        <v>101.175248816984</v>
      </c>
      <c r="W41" s="33" t="n">
        <f aca="false">N41+Q40*Assumptions!$E$20+P41*Assumptions!$E$21+R40*Assumptions!$E$22+T40*Assumptions!$E$24+U40*Assumptions!$E$25</f>
        <v>4.71143832728794</v>
      </c>
      <c r="X41" s="33" t="n">
        <f aca="false">IF(A41&lt;Assumptions!$E$34,0,Assumptions!$E$36*MIN(1,(A41-Assumptions!$E$34+1)/Assumptions!$E$35))*(S41+T41)</f>
        <v>61.4000473098723</v>
      </c>
      <c r="Y41" s="31" t="n">
        <f aca="false">IF(Y40&gt;0,Y40,IF(AND(A41&gt;=Assumptions!$E$41,Q40+R40+T40&gt;=Assumptions!$E$40),A41,0))</f>
        <v>9</v>
      </c>
      <c r="Z41" s="33" t="n">
        <f aca="false">IF(Y41&gt;0,Assumptions!$E$42*MIN(1,(A41-Y41+1)/Assumptions!$E$43),0)*(S41+T41)</f>
        <v>102.333412183121</v>
      </c>
      <c r="AA41" s="35" t="n">
        <f aca="false">(1+Assumptions!$E$32)^(C41-1)</f>
        <v>1.157625</v>
      </c>
      <c r="AB41" s="36" t="n">
        <f aca="false">O41*Assumptions!$E$27*AA41</f>
        <v>945.952272914964</v>
      </c>
      <c r="AC41" s="36" t="n">
        <f aca="false">(Q40+R40)*Assumptions!$E$28*AA41</f>
        <v>19818.5880078262</v>
      </c>
      <c r="AD41" s="36" t="n">
        <f aca="false">M41*Assumptions!$E$29*AA41</f>
        <v>2150.96916921653</v>
      </c>
      <c r="AE41" s="36" t="n">
        <f aca="false">T40*Assumptions!$E$30*AA41</f>
        <v>2374.78976952227</v>
      </c>
      <c r="AF41" s="36" t="n">
        <f aca="false">U40*Assumptions!$E$31*AA41</f>
        <v>5600.80851393372</v>
      </c>
      <c r="AG41" s="36" t="n">
        <f aca="false">X41*Assumptions!$E$37*Assumptions!$E$38</f>
        <v>6140.00473098723</v>
      </c>
      <c r="AH41" s="36" t="n">
        <f aca="false">Z41*Assumptions!$E$44*Assumptions!$E$45</f>
        <v>3581.66942640922</v>
      </c>
      <c r="AI41" s="36" t="n">
        <f aca="false">SUM(AB41:AH41)</f>
        <v>40612.7818908101</v>
      </c>
      <c r="AJ41" s="36" t="n">
        <f aca="false">(S41*Assumptions!$E$28+T41*Assumptions!$E$30+U41*Assumptions!$E$31)*AA41+AG41+AH41</f>
        <v>38322.3567460947</v>
      </c>
      <c r="AK41" s="36" t="n">
        <f aca="false">(AI41-AH41)*Assumptions!$E$49</f>
        <v>1296.08893625403</v>
      </c>
      <c r="AL41" s="36" t="n">
        <f aca="false">(AC41+AE41+AF41)*Assumptions!$E$50</f>
        <v>194.559304038975</v>
      </c>
      <c r="AM41" s="36" t="n">
        <f aca="false">S41*Assumptions!$E$51+M41*Assumptions!$E$52</f>
        <v>278.340472052769</v>
      </c>
      <c r="AN41" s="36" t="n">
        <f aca="false">Assumptions!$E$53+Assumptions!$E$54*(S41+T41+U41)</f>
        <v>554.285467705895</v>
      </c>
      <c r="AO41" s="36" t="n">
        <f aca="false">IF(C41&gt;=2,Assumptions!$E$55,0)</f>
        <v>200</v>
      </c>
      <c r="AP41" s="33" t="n">
        <f aca="false">E41*Assumptions!$E$60/60+F41*Assumptions!$E$61+J41*Assumptions!$E$62+(S41+T41)*Assumptions!$E$63+X41*Assumptions!$E$64+Z41*Assumptions!$E$65+U41*Assumptions!$E$66+Assumptions!$E$67*52/12</f>
        <v>414.561107244918</v>
      </c>
      <c r="AQ41" s="33" t="n">
        <f aca="false">IF(BC40=1,Assumptions!$E$69,Assumptions!$E$68)*52/12</f>
        <v>346.666666666667</v>
      </c>
      <c r="AR41" s="33" t="n">
        <f aca="false">MAX(0,AP41-AQ41)</f>
        <v>67.8944405782515</v>
      </c>
      <c r="AS41" s="36" t="n">
        <f aca="false">AR41*Assumptions!$E$70*Assumptions!$E$71</f>
        <v>651.786629551214</v>
      </c>
      <c r="AT41" s="36" t="n">
        <f aca="false">Assumptions!$E$56/12</f>
        <v>66.6666666666667</v>
      </c>
      <c r="AU41" s="36" t="n">
        <f aca="false">IF(A41=1,Assumptions!$E$57,0)+Assumptions!$E$58</f>
        <v>40</v>
      </c>
      <c r="AV41" s="36" t="n">
        <f aca="false">IF(AND(Y41&gt;0,Y41=A41),Assumptions!$E$46,0)+IF(Y41&gt;0,Assumptions!$E$47,0)</f>
        <v>50</v>
      </c>
      <c r="AW41" s="36" t="n">
        <f aca="false">AK41+AL41+AM41+AN41+AO41+AS41+AT41+AU41+AV41</f>
        <v>3331.72747626955</v>
      </c>
      <c r="AX41" s="36" t="n">
        <f aca="false">AI41-AW41</f>
        <v>37281.0544145405</v>
      </c>
      <c r="AY41" s="36" t="n">
        <f aca="false">MAX(0,AX41)*Assumptions!$E$73</f>
        <v>9320.26360363514</v>
      </c>
      <c r="AZ41" s="36" t="n">
        <f aca="false">AX41-AY41</f>
        <v>27960.7908109054</v>
      </c>
      <c r="BA41" s="36" t="n">
        <f aca="false">BA40+AZ41</f>
        <v>462441.679200431</v>
      </c>
      <c r="BB41" s="31" t="n">
        <f aca="false">IF(AZ41&gt;=Assumptions!$E$74/12,BB40+1,0)</f>
        <v>12</v>
      </c>
      <c r="BC41" s="31" t="n">
        <f aca="false">IF(OR(BC40=1,BB41&gt;=3),1,0)</f>
        <v>1</v>
      </c>
      <c r="BD41" s="31" t="n">
        <f aca="false">IF(AZ41&gt;=Assumptions!$E$75/12,BD40+1,0)</f>
        <v>23</v>
      </c>
      <c r="BE41" s="33" t="n">
        <f aca="false">AP41*12/52</f>
        <v>95.6679478257503</v>
      </c>
      <c r="BF41" s="33" t="n">
        <f aca="false">AR41*12/52</f>
        <v>15.6679478257503</v>
      </c>
      <c r="BG41" s="31" t="n">
        <f aca="false">IF(AX41&gt;0,A41,999)</f>
        <v>37</v>
      </c>
      <c r="BH41" s="31" t="n">
        <f aca="false">IF(BB41&gt;=3,A41,999)</f>
        <v>37</v>
      </c>
      <c r="BI41" s="31" t="n">
        <f aca="false">IF(BD41&gt;=3,A41,999)</f>
        <v>37</v>
      </c>
    </row>
    <row r="42" customFormat="false" ht="15" hidden="false" customHeight="false" outlineLevel="0" collapsed="false">
      <c r="A42" s="31" t="n">
        <v>38</v>
      </c>
      <c r="B42" s="32" t="n">
        <f aca="false">DATE(2026,10+A42,1)</f>
        <v>47453</v>
      </c>
      <c r="C42" s="31" t="n">
        <f aca="false">INT((A42-1)/12)+1</f>
        <v>4</v>
      </c>
      <c r="D42" s="31" t="n">
        <f aca="false">IF(C42=1,Assumptions!$E$7,IF(C42=2,Assumptions!$E$8,Assumptions!$E$9))</f>
        <v>30</v>
      </c>
      <c r="E42" s="31" t="n">
        <f aca="false">D42*Assumptions!$E$10</f>
        <v>660</v>
      </c>
      <c r="F42" s="33" t="n">
        <f aca="false">E42*Assumptions!$E$11</f>
        <v>66</v>
      </c>
      <c r="G42" s="34" t="n">
        <f aca="false">MIN(1,Assumptions!$E$13+(1-Assumptions!$E$13)*(A42-1)/Assumptions!$E$14)</f>
        <v>1</v>
      </c>
      <c r="H42" s="33" t="n">
        <f aca="false">F42*Assumptions!$E$12*G42</f>
        <v>9.9</v>
      </c>
      <c r="I42" s="33" t="n">
        <f aca="false">Assumptions!$E$15*(Q41+R41+T41+U41)</f>
        <v>3.25714100779421</v>
      </c>
      <c r="J42" s="33" t="n">
        <f aca="false">H42+I42</f>
        <v>13.1571410077942</v>
      </c>
      <c r="K42" s="33" t="n">
        <f aca="false">J42*Assumptions!$E$18</f>
        <v>0.657857050389711</v>
      </c>
      <c r="L42" s="33" t="n">
        <f aca="false">(J42-K42)*Assumptions!$E$17</f>
        <v>8.74949877018315</v>
      </c>
      <c r="M42" s="33" t="n">
        <f aca="false">J42-K42-L42</f>
        <v>3.74978518722135</v>
      </c>
      <c r="N42" s="33" t="n">
        <f aca="false">L42*Assumptions!$E$19</f>
        <v>0.437474938509157</v>
      </c>
      <c r="O42" s="33" t="n">
        <f aca="false">L42-N42</f>
        <v>8.31202383167399</v>
      </c>
      <c r="P42" s="33" t="n">
        <f aca="false">O30*(1-Assumptions!$E$20)^12</f>
        <v>7.12690112394289</v>
      </c>
      <c r="Q42" s="33" t="n">
        <f aca="false">Q41*(1-Assumptions!$E$20)+O42-P42</f>
        <v>93.1972945240702</v>
      </c>
      <c r="R42" s="33" t="n">
        <f aca="false">R41*(1-Assumptions!$E$22)+P42*(1-Assumptions!$E$21)</f>
        <v>89.7907053265897</v>
      </c>
      <c r="S42" s="33" t="n">
        <f aca="false">Q42+R42</f>
        <v>182.98799985066</v>
      </c>
      <c r="T42" s="33" t="n">
        <f aca="false">T41*(1-Assumptions!$E$24)+M42*Assumptions!$E$23</f>
        <v>27.3775029579562</v>
      </c>
      <c r="U42" s="33" t="n">
        <f aca="false">U41*(1-Assumptions!$E$25)+K42</f>
        <v>12.8218687999282</v>
      </c>
      <c r="V42" s="33" t="n">
        <f aca="false">V41+M42</f>
        <v>104.925034004206</v>
      </c>
      <c r="W42" s="33" t="n">
        <f aca="false">N42+Q41*Assumptions!$E$20+P42*Assumptions!$E$21+R41*Assumptions!$E$22+T41*Assumptions!$E$24+U41*Assumptions!$E$25</f>
        <v>4.86263213986432</v>
      </c>
      <c r="X42" s="33" t="n">
        <f aca="false">IF(A42&lt;Assumptions!$E$34,0,Assumptions!$E$36*MIN(1,(A42-Assumptions!$E$34+1)/Assumptions!$E$35))*(S42+T42)</f>
        <v>63.1096508425848</v>
      </c>
      <c r="Y42" s="31" t="n">
        <f aca="false">IF(Y41&gt;0,Y41,IF(AND(A42&gt;=Assumptions!$E$41,Q41+R41+T41&gt;=Assumptions!$E$40),A42,0))</f>
        <v>9</v>
      </c>
      <c r="Z42" s="33" t="n">
        <f aca="false">IF(Y42&gt;0,Assumptions!$E$42*MIN(1,(A42-Y42+1)/Assumptions!$E$43),0)*(S42+T42)</f>
        <v>105.182751404308</v>
      </c>
      <c r="AA42" s="35" t="n">
        <f aca="false">(1+Assumptions!$E$32)^(C42-1)</f>
        <v>1.157625</v>
      </c>
      <c r="AB42" s="36" t="n">
        <f aca="false">O42*Assumptions!$E$27*AA42</f>
        <v>952.598452226019</v>
      </c>
      <c r="AC42" s="36" t="n">
        <f aca="false">(Q41+R41)*Assumptions!$E$28*AA42</f>
        <v>20398.3953703098</v>
      </c>
      <c r="AD42" s="36" t="n">
        <f aca="false">M42*Assumptions!$E$29*AA42</f>
        <v>2166.0816936012</v>
      </c>
      <c r="AE42" s="36" t="n">
        <f aca="false">T41*Assumptions!$E$30*AA42</f>
        <v>2439.7597552888</v>
      </c>
      <c r="AF42" s="36" t="n">
        <f aca="false">U41*Assumptions!$E$31*AA42</f>
        <v>5762.52746309972</v>
      </c>
      <c r="AG42" s="36" t="n">
        <f aca="false">X42*Assumptions!$E$37*Assumptions!$E$38</f>
        <v>6310.96508425849</v>
      </c>
      <c r="AH42" s="36" t="n">
        <f aca="false">Z42*Assumptions!$E$44*Assumptions!$E$45</f>
        <v>3681.39629915078</v>
      </c>
      <c r="AI42" s="36" t="n">
        <f aca="false">SUM(AB42:AH42)</f>
        <v>41711.7241179348</v>
      </c>
      <c r="AJ42" s="36" t="n">
        <f aca="false">(S42*Assumptions!$E$28+T42*Assumptions!$E$30+U42*Assumptions!$E$31)*AA42+AG42+AH42</f>
        <v>39389.739331806</v>
      </c>
      <c r="AK42" s="36" t="n">
        <f aca="false">(AI42-AH42)*Assumptions!$E$49</f>
        <v>1331.06147365744</v>
      </c>
      <c r="AL42" s="36" t="n">
        <f aca="false">(AC42+AE42+AF42)*Assumptions!$E$50</f>
        <v>200.204778120888</v>
      </c>
      <c r="AM42" s="36" t="n">
        <f aca="false">S42*Assumptions!$E$51+M42*Assumptions!$E$52</f>
        <v>284.981777621645</v>
      </c>
      <c r="AN42" s="36" t="n">
        <f aca="false">Assumptions!$E$53+Assumptions!$E$54*(S42+T42+U42)</f>
        <v>566.374743217089</v>
      </c>
      <c r="AO42" s="36" t="n">
        <f aca="false">IF(C42&gt;=2,Assumptions!$E$55,0)</f>
        <v>200</v>
      </c>
      <c r="AP42" s="33" t="n">
        <f aca="false">E42*Assumptions!$E$60/60+F42*Assumptions!$E$61+J42*Assumptions!$E$62+(S42+T42)*Assumptions!$E$63+X42*Assumptions!$E$64+Z42*Assumptions!$E$65+U42*Assumptions!$E$66+Assumptions!$E$67*52/12</f>
        <v>423.979346732749</v>
      </c>
      <c r="AQ42" s="33" t="n">
        <f aca="false">IF(BC41=1,Assumptions!$E$69,Assumptions!$E$68)*52/12</f>
        <v>346.666666666667</v>
      </c>
      <c r="AR42" s="33" t="n">
        <f aca="false">MAX(0,AP42-AQ42)</f>
        <v>77.3126800660819</v>
      </c>
      <c r="AS42" s="36" t="n">
        <f aca="false">AR42*Assumptions!$E$70*Assumptions!$E$71</f>
        <v>742.201728634386</v>
      </c>
      <c r="AT42" s="36" t="n">
        <f aca="false">Assumptions!$E$56/12</f>
        <v>66.6666666666667</v>
      </c>
      <c r="AU42" s="36" t="n">
        <f aca="false">IF(A42=1,Assumptions!$E$57,0)+Assumptions!$E$58</f>
        <v>40</v>
      </c>
      <c r="AV42" s="36" t="n">
        <f aca="false">IF(AND(Y42&gt;0,Y42=A42),Assumptions!$E$46,0)+IF(Y42&gt;0,Assumptions!$E$47,0)</f>
        <v>50</v>
      </c>
      <c r="AW42" s="36" t="n">
        <f aca="false">AK42+AL42+AM42+AN42+AO42+AS42+AT42+AU42+AV42</f>
        <v>3481.49116791811</v>
      </c>
      <c r="AX42" s="36" t="n">
        <f aca="false">AI42-AW42</f>
        <v>38230.2329500166</v>
      </c>
      <c r="AY42" s="36" t="n">
        <f aca="false">MAX(0,AX42)*Assumptions!$E$73</f>
        <v>9557.55823750416</v>
      </c>
      <c r="AZ42" s="36" t="n">
        <f aca="false">AX42-AY42</f>
        <v>28672.6747125125</v>
      </c>
      <c r="BA42" s="36" t="n">
        <f aca="false">BA41+AZ42</f>
        <v>491114.353912943</v>
      </c>
      <c r="BB42" s="31" t="n">
        <f aca="false">IF(AZ42&gt;=Assumptions!$E$74/12,BB41+1,0)</f>
        <v>13</v>
      </c>
      <c r="BC42" s="31" t="n">
        <f aca="false">IF(OR(BC41=1,BB42&gt;=3),1,0)</f>
        <v>1</v>
      </c>
      <c r="BD42" s="31" t="n">
        <f aca="false">IF(AZ42&gt;=Assumptions!$E$75/12,BD41+1,0)</f>
        <v>24</v>
      </c>
      <c r="BE42" s="33" t="n">
        <f aca="false">AP42*12/52</f>
        <v>97.8413877075574</v>
      </c>
      <c r="BF42" s="33" t="n">
        <f aca="false">AR42*12/52</f>
        <v>17.8413877075574</v>
      </c>
      <c r="BG42" s="31" t="n">
        <f aca="false">IF(AX42&gt;0,A42,999)</f>
        <v>38</v>
      </c>
      <c r="BH42" s="31" t="n">
        <f aca="false">IF(BB42&gt;=3,A42,999)</f>
        <v>38</v>
      </c>
      <c r="BI42" s="31" t="n">
        <f aca="false">IF(BD42&gt;=3,A42,999)</f>
        <v>38</v>
      </c>
    </row>
    <row r="43" customFormat="false" ht="15" hidden="false" customHeight="false" outlineLevel="0" collapsed="false">
      <c r="A43" s="31" t="n">
        <v>39</v>
      </c>
      <c r="B43" s="32" t="n">
        <f aca="false">DATE(2026,10+A43,1)</f>
        <v>47484</v>
      </c>
      <c r="C43" s="31" t="n">
        <f aca="false">INT((A43-1)/12)+1</f>
        <v>4</v>
      </c>
      <c r="D43" s="31" t="n">
        <f aca="false">IF(C43=1,Assumptions!$E$7,IF(C43=2,Assumptions!$E$8,Assumptions!$E$9))</f>
        <v>30</v>
      </c>
      <c r="E43" s="31" t="n">
        <f aca="false">D43*Assumptions!$E$10</f>
        <v>660</v>
      </c>
      <c r="F43" s="33" t="n">
        <f aca="false">E43*Assumptions!$E$11</f>
        <v>66</v>
      </c>
      <c r="G43" s="34" t="n">
        <f aca="false">MIN(1,Assumptions!$E$13+(1-Assumptions!$E$13)*(A43-1)/Assumptions!$E$14)</f>
        <v>1</v>
      </c>
      <c r="H43" s="33" t="n">
        <f aca="false">F43*Assumptions!$E$12*G43</f>
        <v>9.9</v>
      </c>
      <c r="I43" s="33" t="n">
        <f aca="false">Assumptions!$E$15*(Q42+R42+T42+U42)</f>
        <v>3.34781057412817</v>
      </c>
      <c r="J43" s="33" t="n">
        <f aca="false">H43+I43</f>
        <v>13.2478105741282</v>
      </c>
      <c r="K43" s="33" t="n">
        <f aca="false">J43*Assumptions!$E$18</f>
        <v>0.662390528706408</v>
      </c>
      <c r="L43" s="33" t="n">
        <f aca="false">(J43-K43)*Assumptions!$E$17</f>
        <v>8.80979403179523</v>
      </c>
      <c r="M43" s="33" t="n">
        <f aca="false">J43-K43-L43</f>
        <v>3.77562601362653</v>
      </c>
      <c r="N43" s="33" t="n">
        <f aca="false">L43*Assumptions!$E$19</f>
        <v>0.440489701589761</v>
      </c>
      <c r="O43" s="33" t="n">
        <f aca="false">L43-N43</f>
        <v>8.36930433020547</v>
      </c>
      <c r="P43" s="33" t="n">
        <f aca="false">O31*(1-Assumptions!$E$20)^12</f>
        <v>7.18836163377688</v>
      </c>
      <c r="Q43" s="33" t="n">
        <f aca="false">Q42*(1-Assumptions!$E$20)+O43-P43</f>
        <v>93.9122507478785</v>
      </c>
      <c r="R43" s="33" t="n">
        <f aca="false">R42*(1-Assumptions!$E$22)+P43*(1-Assumptions!$E$21)</f>
        <v>94.0154631638242</v>
      </c>
      <c r="S43" s="33" t="n">
        <f aca="false">Q43+R43</f>
        <v>187.927713911703</v>
      </c>
      <c r="T43" s="33" t="n">
        <f aca="false">T42*(1-Assumptions!$E$24)+M43*Assumptions!$E$23</f>
        <v>28.0664282746681</v>
      </c>
      <c r="U43" s="33" t="n">
        <f aca="false">U42*(1-Assumptions!$E$25)+K43</f>
        <v>13.1637126086364</v>
      </c>
      <c r="V43" s="33" t="n">
        <f aca="false">V42+M43</f>
        <v>108.700660017832</v>
      </c>
      <c r="W43" s="33" t="n">
        <f aca="false">N43+Q42*Assumptions!$E$20+P43*Assumptions!$E$21+R42*Assumptions!$E$22+T42*Assumptions!$E$24+U42*Assumptions!$E$25</f>
        <v>5.01195177948943</v>
      </c>
      <c r="X43" s="33" t="n">
        <f aca="false">IF(A43&lt;Assumptions!$E$34,0,Assumptions!$E$36*MIN(1,(A43-Assumptions!$E$34+1)/Assumptions!$E$35))*(S43+T43)</f>
        <v>64.7982426559112</v>
      </c>
      <c r="Y43" s="31" t="n">
        <f aca="false">IF(Y42&gt;0,Y42,IF(AND(A43&gt;=Assumptions!$E$41,Q42+R42+T42&gt;=Assumptions!$E$40),A43,0))</f>
        <v>9</v>
      </c>
      <c r="Z43" s="33" t="n">
        <f aca="false">IF(Y43&gt;0,Assumptions!$E$42*MIN(1,(A43-Y43+1)/Assumptions!$E$43),0)*(S43+T43)</f>
        <v>107.997071093185</v>
      </c>
      <c r="AA43" s="35" t="n">
        <f aca="false">(1+Assumptions!$E$32)^(C43-1)</f>
        <v>1.157625</v>
      </c>
      <c r="AB43" s="36" t="n">
        <f aca="false">O43*Assumptions!$E$27*AA43</f>
        <v>959.163076600156</v>
      </c>
      <c r="AC43" s="36" t="n">
        <f aca="false">(Q42+R42)*Assumptions!$E$28*AA43</f>
        <v>20971.3168493849</v>
      </c>
      <c r="AD43" s="36" t="n">
        <f aca="false">M43*Assumptions!$E$29*AA43</f>
        <v>2181.00877294818</v>
      </c>
      <c r="AE43" s="36" t="n">
        <f aca="false">T42*Assumptions!$E$30*AA43</f>
        <v>2503.73766707462</v>
      </c>
      <c r="AF43" s="36" t="n">
        <f aca="false">U42*Assumptions!$E$31*AA43</f>
        <v>5922.32343193722</v>
      </c>
      <c r="AG43" s="36" t="n">
        <f aca="false">X43*Assumptions!$E$37*Assumptions!$E$38</f>
        <v>6479.82426559112</v>
      </c>
      <c r="AH43" s="36" t="n">
        <f aca="false">Z43*Assumptions!$E$44*Assumptions!$E$45</f>
        <v>3779.89748826149</v>
      </c>
      <c r="AI43" s="36" t="n">
        <f aca="false">SUM(AB43:AH43)</f>
        <v>42797.2715517977</v>
      </c>
      <c r="AJ43" s="36" t="n">
        <f aca="false">(S43*Assumptions!$E$28+T43*Assumptions!$E$30+U43*Assumptions!$E$31)*AA43+AG43+AH43</f>
        <v>40444.1139198451</v>
      </c>
      <c r="AK43" s="36" t="n">
        <f aca="false">(AI43-AH43)*Assumptions!$E$49</f>
        <v>1365.60809222377</v>
      </c>
      <c r="AL43" s="36" t="n">
        <f aca="false">(AC43+AE43+AF43)*Assumptions!$E$50</f>
        <v>205.781645638777</v>
      </c>
      <c r="AM43" s="36" t="n">
        <f aca="false">S43*Assumptions!$E$51+M43*Assumptions!$E$52</f>
        <v>291.544032594026</v>
      </c>
      <c r="AN43" s="36" t="n">
        <f aca="false">Assumptions!$E$53+Assumptions!$E$54*(S43+T43+U43)</f>
        <v>578.315709590014</v>
      </c>
      <c r="AO43" s="36" t="n">
        <f aca="false">IF(C43&gt;=2,Assumptions!$E$55,0)</f>
        <v>200</v>
      </c>
      <c r="AP43" s="33" t="n">
        <f aca="false">E43*Assumptions!$E$60/60+F43*Assumptions!$E$61+J43*Assumptions!$E$62+(S43+T43)*Assumptions!$E$63+X43*Assumptions!$E$64+Z43*Assumptions!$E$65+U43*Assumptions!$E$66+Assumptions!$E$67*52/12</f>
        <v>433.282517301315</v>
      </c>
      <c r="AQ43" s="33" t="n">
        <f aca="false">IF(BC42=1,Assumptions!$E$69,Assumptions!$E$68)*52/12</f>
        <v>346.666666666667</v>
      </c>
      <c r="AR43" s="33" t="n">
        <f aca="false">MAX(0,AP43-AQ43)</f>
        <v>86.6158506346487</v>
      </c>
      <c r="AS43" s="36" t="n">
        <f aca="false">AR43*Assumptions!$E$70*Assumptions!$E$71</f>
        <v>831.512166092627</v>
      </c>
      <c r="AT43" s="36" t="n">
        <f aca="false">Assumptions!$E$56/12</f>
        <v>66.6666666666667</v>
      </c>
      <c r="AU43" s="36" t="n">
        <f aca="false">IF(A43=1,Assumptions!$E$57,0)+Assumptions!$E$58</f>
        <v>40</v>
      </c>
      <c r="AV43" s="36" t="n">
        <f aca="false">IF(AND(Y43&gt;0,Y43=A43),Assumptions!$E$46,0)+IF(Y43&gt;0,Assumptions!$E$47,0)</f>
        <v>50</v>
      </c>
      <c r="AW43" s="36" t="n">
        <f aca="false">AK43+AL43+AM43+AN43+AO43+AS43+AT43+AU43+AV43</f>
        <v>3629.42831280588</v>
      </c>
      <c r="AX43" s="36" t="n">
        <f aca="false">AI43-AW43</f>
        <v>39167.8432389918</v>
      </c>
      <c r="AY43" s="36" t="n">
        <f aca="false">MAX(0,AX43)*Assumptions!$E$73</f>
        <v>9791.96080974795</v>
      </c>
      <c r="AZ43" s="36" t="n">
        <f aca="false">AX43-AY43</f>
        <v>29375.8824292439</v>
      </c>
      <c r="BA43" s="36" t="n">
        <f aca="false">BA42+AZ43</f>
        <v>520490.236342187</v>
      </c>
      <c r="BB43" s="31" t="n">
        <f aca="false">IF(AZ43&gt;=Assumptions!$E$74/12,BB42+1,0)</f>
        <v>14</v>
      </c>
      <c r="BC43" s="31" t="n">
        <f aca="false">IF(OR(BC42=1,BB43&gt;=3),1,0)</f>
        <v>1</v>
      </c>
      <c r="BD43" s="31" t="n">
        <f aca="false">IF(AZ43&gt;=Assumptions!$E$75/12,BD42+1,0)</f>
        <v>25</v>
      </c>
      <c r="BE43" s="33" t="n">
        <f aca="false">AP43*12/52</f>
        <v>99.9882732233805</v>
      </c>
      <c r="BF43" s="33" t="n">
        <f aca="false">AR43*12/52</f>
        <v>19.9882732233805</v>
      </c>
      <c r="BG43" s="31" t="n">
        <f aca="false">IF(AX43&gt;0,A43,999)</f>
        <v>39</v>
      </c>
      <c r="BH43" s="31" t="n">
        <f aca="false">IF(BB43&gt;=3,A43,999)</f>
        <v>39</v>
      </c>
      <c r="BI43" s="31" t="n">
        <f aca="false">IF(BD43&gt;=3,A43,999)</f>
        <v>39</v>
      </c>
    </row>
    <row r="44" customFormat="false" ht="15" hidden="false" customHeight="false" outlineLevel="0" collapsed="false">
      <c r="A44" s="31" t="n">
        <v>40</v>
      </c>
      <c r="B44" s="32" t="n">
        <f aca="false">DATE(2026,10+A44,1)</f>
        <v>47515</v>
      </c>
      <c r="C44" s="31" t="n">
        <f aca="false">INT((A44-1)/12)+1</f>
        <v>4</v>
      </c>
      <c r="D44" s="31" t="n">
        <f aca="false">IF(C44=1,Assumptions!$E$7,IF(C44=2,Assumptions!$E$8,Assumptions!$E$9))</f>
        <v>30</v>
      </c>
      <c r="E44" s="31" t="n">
        <f aca="false">D44*Assumptions!$E$10</f>
        <v>660</v>
      </c>
      <c r="F44" s="33" t="n">
        <f aca="false">E44*Assumptions!$E$11</f>
        <v>66</v>
      </c>
      <c r="G44" s="34" t="n">
        <f aca="false">MIN(1,Assumptions!$E$13+(1-Assumptions!$E$13)*(A44-1)/Assumptions!$E$14)</f>
        <v>1</v>
      </c>
      <c r="H44" s="33" t="n">
        <f aca="false">F44*Assumptions!$E$12*G44</f>
        <v>9.9</v>
      </c>
      <c r="I44" s="33" t="n">
        <f aca="false">Assumptions!$E$15*(Q43+R43+T43+U43)</f>
        <v>3.43736782192511</v>
      </c>
      <c r="J44" s="33" t="n">
        <f aca="false">H44+I44</f>
        <v>13.3373678219251</v>
      </c>
      <c r="K44" s="33" t="n">
        <f aca="false">J44*Assumptions!$E$18</f>
        <v>0.666868391096255</v>
      </c>
      <c r="L44" s="33" t="n">
        <f aca="false">(J44-K44)*Assumptions!$E$17</f>
        <v>8.8693496015802</v>
      </c>
      <c r="M44" s="33" t="n">
        <f aca="false">J44-K44-L44</f>
        <v>3.80114982924866</v>
      </c>
      <c r="N44" s="33" t="n">
        <f aca="false">L44*Assumptions!$E$19</f>
        <v>0.44346748007901</v>
      </c>
      <c r="O44" s="33" t="n">
        <f aca="false">L44-N44</f>
        <v>8.42588212150119</v>
      </c>
      <c r="P44" s="33" t="n">
        <f aca="false">O32*(1-Assumptions!$E$20)^12</f>
        <v>7.24923696722929</v>
      </c>
      <c r="Q44" s="33" t="n">
        <f aca="false">Q43*(1-Assumptions!$E$20)+O44-P44</f>
        <v>94.619334648411</v>
      </c>
      <c r="R44" s="33" t="n">
        <f aca="false">R43*(1-Assumptions!$E$22)+P44*(1-Assumptions!$E$21)</f>
        <v>98.1893898552349</v>
      </c>
      <c r="S44" s="33" t="n">
        <f aca="false">Q44+R44</f>
        <v>192.808724503646</v>
      </c>
      <c r="T44" s="33" t="n">
        <f aca="false">T43*(1-Assumptions!$E$24)+M44*Assumptions!$E$23</f>
        <v>28.7448953581275</v>
      </c>
      <c r="U44" s="33" t="n">
        <f aca="false">U43*(1-Assumptions!$E$25)+K44</f>
        <v>13.5014881845167</v>
      </c>
      <c r="V44" s="33" t="n">
        <f aca="false">V43+M44</f>
        <v>112.501809847081</v>
      </c>
      <c r="W44" s="33" t="n">
        <f aca="false">N44+Q43*Assumptions!$E$20+P44*Assumptions!$E$21+R43*Assumptions!$E$22+T43*Assumptions!$E$24+U43*Assumptions!$E$25</f>
        <v>5.15942467309289</v>
      </c>
      <c r="X44" s="33" t="n">
        <f aca="false">IF(A44&lt;Assumptions!$E$34,0,Assumptions!$E$36*MIN(1,(A44-Assumptions!$E$34+1)/Assumptions!$E$35))*(S44+T44)</f>
        <v>66.466085958532</v>
      </c>
      <c r="Y44" s="31" t="n">
        <f aca="false">IF(Y43&gt;0,Y43,IF(AND(A44&gt;=Assumptions!$E$41,Q43+R43+T43&gt;=Assumptions!$E$40),A44,0))</f>
        <v>9</v>
      </c>
      <c r="Z44" s="33" t="n">
        <f aca="false">IF(Y44&gt;0,Assumptions!$E$42*MIN(1,(A44-Y44+1)/Assumptions!$E$43),0)*(S44+T44)</f>
        <v>110.776809930887</v>
      </c>
      <c r="AA44" s="35" t="n">
        <f aca="false">(1+Assumptions!$E$32)^(C44-1)</f>
        <v>1.157625</v>
      </c>
      <c r="AB44" s="36" t="n">
        <f aca="false">O44*Assumptions!$E$27*AA44</f>
        <v>965.647167299378</v>
      </c>
      <c r="AC44" s="36" t="n">
        <f aca="false">(Q43+R43)*Assumptions!$E$28*AA44</f>
        <v>21537.4321618864</v>
      </c>
      <c r="AD44" s="36" t="n">
        <f aca="false">M44*Assumptions!$E$29*AA44</f>
        <v>2195.7527294709</v>
      </c>
      <c r="AE44" s="36" t="n">
        <f aca="false">T43*Assumptions!$E$30*AA44</f>
        <v>2566.74152348555</v>
      </c>
      <c r="AF44" s="36" t="n">
        <f aca="false">U43*Assumptions!$E$31*AA44</f>
        <v>6080.2184806205</v>
      </c>
      <c r="AG44" s="36" t="n">
        <f aca="false">X44*Assumptions!$E$37*Assumptions!$E$38</f>
        <v>6646.6085958532</v>
      </c>
      <c r="AH44" s="36" t="n">
        <f aca="false">Z44*Assumptions!$E$44*Assumptions!$E$45</f>
        <v>3877.18834758104</v>
      </c>
      <c r="AI44" s="36" t="n">
        <f aca="false">SUM(AB44:AH44)</f>
        <v>43869.589006197</v>
      </c>
      <c r="AJ44" s="36" t="n">
        <f aca="false">(S44*Assumptions!$E$28+T44*Assumptions!$E$30+U44*Assumptions!$E$31)*AA44+AG44+AH44</f>
        <v>41485.6401072921</v>
      </c>
      <c r="AK44" s="36" t="n">
        <f aca="false">(AI44-AH44)*Assumptions!$E$49</f>
        <v>1399.73402305156</v>
      </c>
      <c r="AL44" s="36" t="n">
        <f aca="false">(AC44+AE44+AF44)*Assumptions!$E$50</f>
        <v>211.290745161947</v>
      </c>
      <c r="AM44" s="36" t="n">
        <f aca="false">S44*Assumptions!$E$51+M44*Assumptions!$E$52</f>
        <v>298.028153068287</v>
      </c>
      <c r="AN44" s="36" t="n">
        <f aca="false">Assumptions!$E$53+Assumptions!$E$54*(S44+T44+U44)</f>
        <v>590.11021609258</v>
      </c>
      <c r="AO44" s="36" t="n">
        <f aca="false">IF(C44&gt;=2,Assumptions!$E$55,0)</f>
        <v>200</v>
      </c>
      <c r="AP44" s="33" t="n">
        <f aca="false">E44*Assumptions!$E$60/60+F44*Assumptions!$E$61+J44*Assumptions!$E$62+(S44+T44)*Assumptions!$E$63+X44*Assumptions!$E$64+Z44*Assumptions!$E$65+U44*Assumptions!$E$66+Assumptions!$E$67*52/12</f>
        <v>442.472038972321</v>
      </c>
      <c r="AQ44" s="33" t="n">
        <f aca="false">IF(BC43=1,Assumptions!$E$69,Assumptions!$E$68)*52/12</f>
        <v>346.666666666667</v>
      </c>
      <c r="AR44" s="33" t="n">
        <f aca="false">MAX(0,AP44-AQ44)</f>
        <v>95.8053723056544</v>
      </c>
      <c r="AS44" s="36" t="n">
        <f aca="false">AR44*Assumptions!$E$70*Assumptions!$E$71</f>
        <v>919.731574134282</v>
      </c>
      <c r="AT44" s="36" t="n">
        <f aca="false">Assumptions!$E$56/12</f>
        <v>66.6666666666667</v>
      </c>
      <c r="AU44" s="36" t="n">
        <f aca="false">IF(A44=1,Assumptions!$E$57,0)+Assumptions!$E$58</f>
        <v>40</v>
      </c>
      <c r="AV44" s="36" t="n">
        <f aca="false">IF(AND(Y44&gt;0,Y44=A44),Assumptions!$E$46,0)+IF(Y44&gt;0,Assumptions!$E$47,0)</f>
        <v>50</v>
      </c>
      <c r="AW44" s="36" t="n">
        <f aca="false">AK44+AL44+AM44+AN44+AO44+AS44+AT44+AU44+AV44</f>
        <v>3775.56137817532</v>
      </c>
      <c r="AX44" s="36" t="n">
        <f aca="false">AI44-AW44</f>
        <v>40094.0276280217</v>
      </c>
      <c r="AY44" s="36" t="n">
        <f aca="false">MAX(0,AX44)*Assumptions!$E$73</f>
        <v>10023.5069070054</v>
      </c>
      <c r="AZ44" s="36" t="n">
        <f aca="false">AX44-AY44</f>
        <v>30070.5207210163</v>
      </c>
      <c r="BA44" s="36" t="n">
        <f aca="false">BA43+AZ44</f>
        <v>550560.757063203</v>
      </c>
      <c r="BB44" s="31" t="n">
        <f aca="false">IF(AZ44&gt;=Assumptions!$E$74/12,BB43+1,0)</f>
        <v>15</v>
      </c>
      <c r="BC44" s="31" t="n">
        <f aca="false">IF(OR(BC43=1,BB44&gt;=3),1,0)</f>
        <v>1</v>
      </c>
      <c r="BD44" s="31" t="n">
        <f aca="false">IF(AZ44&gt;=Assumptions!$E$75/12,BD43+1,0)</f>
        <v>26</v>
      </c>
      <c r="BE44" s="33" t="n">
        <f aca="false">AP44*12/52</f>
        <v>102.108932070536</v>
      </c>
      <c r="BF44" s="33" t="n">
        <f aca="false">AR44*12/52</f>
        <v>22.1089320705356</v>
      </c>
      <c r="BG44" s="31" t="n">
        <f aca="false">IF(AX44&gt;0,A44,999)</f>
        <v>40</v>
      </c>
      <c r="BH44" s="31" t="n">
        <f aca="false">IF(BB44&gt;=3,A44,999)</f>
        <v>40</v>
      </c>
      <c r="BI44" s="31" t="n">
        <f aca="false">IF(BD44&gt;=3,A44,999)</f>
        <v>40</v>
      </c>
    </row>
    <row r="45" customFormat="false" ht="15" hidden="false" customHeight="false" outlineLevel="0" collapsed="false">
      <c r="A45" s="31" t="n">
        <v>41</v>
      </c>
      <c r="B45" s="32" t="n">
        <f aca="false">DATE(2026,10+A45,1)</f>
        <v>47543</v>
      </c>
      <c r="C45" s="31" t="n">
        <f aca="false">INT((A45-1)/12)+1</f>
        <v>4</v>
      </c>
      <c r="D45" s="31" t="n">
        <f aca="false">IF(C45=1,Assumptions!$E$7,IF(C45=2,Assumptions!$E$8,Assumptions!$E$9))</f>
        <v>30</v>
      </c>
      <c r="E45" s="31" t="n">
        <f aca="false">D45*Assumptions!$E$10</f>
        <v>660</v>
      </c>
      <c r="F45" s="33" t="n">
        <f aca="false">E45*Assumptions!$E$11</f>
        <v>66</v>
      </c>
      <c r="G45" s="34" t="n">
        <f aca="false">MIN(1,Assumptions!$E$13+(1-Assumptions!$E$13)*(A45-1)/Assumptions!$E$14)</f>
        <v>1</v>
      </c>
      <c r="H45" s="33" t="n">
        <f aca="false">F45*Assumptions!$E$12*G45</f>
        <v>9.9</v>
      </c>
      <c r="I45" s="33" t="n">
        <f aca="false">Assumptions!$E$15*(Q44+R44+T44+U44)</f>
        <v>3.52582662069435</v>
      </c>
      <c r="J45" s="33" t="n">
        <f aca="false">H45+I45</f>
        <v>13.4258266206944</v>
      </c>
      <c r="K45" s="33" t="n">
        <f aca="false">J45*Assumptions!$E$18</f>
        <v>0.671291331034718</v>
      </c>
      <c r="L45" s="33" t="n">
        <f aca="false">(J45-K45)*Assumptions!$E$17</f>
        <v>8.92817470276174</v>
      </c>
      <c r="M45" s="33" t="n">
        <f aca="false">J45-K45-L45</f>
        <v>3.82636058689789</v>
      </c>
      <c r="N45" s="33" t="n">
        <f aca="false">L45*Assumptions!$E$19</f>
        <v>0.446408735138087</v>
      </c>
      <c r="O45" s="33" t="n">
        <f aca="false">L45-N45</f>
        <v>8.48176596762366</v>
      </c>
      <c r="P45" s="33" t="n">
        <f aca="false">O33*(1-Assumptions!$E$20)^12</f>
        <v>7.30953587441531</v>
      </c>
      <c r="Q45" s="33" t="n">
        <f aca="false">Q44*(1-Assumptions!$E$20)+O45-P45</f>
        <v>95.3184680683773</v>
      </c>
      <c r="R45" s="33" t="n">
        <f aca="false">R44*(1-Assumptions!$E$22)+P45*(1-Assumptions!$E$21)</f>
        <v>102.313237395828</v>
      </c>
      <c r="S45" s="33" t="n">
        <f aca="false">Q45+R45</f>
        <v>197.631705464205</v>
      </c>
      <c r="T45" s="33" t="n">
        <f aca="false">T44*(1-Assumptions!$E$24)+M45*Assumptions!$E$23</f>
        <v>29.4130927321428</v>
      </c>
      <c r="U45" s="33" t="n">
        <f aca="false">U44*(1-Assumptions!$E$25)+K45</f>
        <v>13.8352423109385</v>
      </c>
      <c r="V45" s="33" t="n">
        <f aca="false">V44+M45</f>
        <v>116.328170433979</v>
      </c>
      <c r="W45" s="33" t="n">
        <f aca="false">N45+Q44*Assumptions!$E$20+P45*Assumptions!$E$21+R44*Assumptions!$E$22+T44*Assumptions!$E$24+U44*Assumptions!$E$25</f>
        <v>5.30507780755929</v>
      </c>
      <c r="X45" s="33" t="n">
        <f aca="false">IF(A45&lt;Assumptions!$E$34,0,Assumptions!$E$36*MIN(1,(A45-Assumptions!$E$34+1)/Assumptions!$E$35))*(S45+T45)</f>
        <v>68.1134394589044</v>
      </c>
      <c r="Y45" s="31" t="n">
        <f aca="false">IF(Y44&gt;0,Y44,IF(AND(A45&gt;=Assumptions!$E$41,Q44+R44+T44&gt;=Assumptions!$E$40),A45,0))</f>
        <v>9</v>
      </c>
      <c r="Z45" s="33" t="n">
        <f aca="false">IF(Y45&gt;0,Assumptions!$E$42*MIN(1,(A45-Y45+1)/Assumptions!$E$43),0)*(S45+T45)</f>
        <v>113.522399098174</v>
      </c>
      <c r="AA45" s="35" t="n">
        <f aca="false">(1+Assumptions!$E$32)^(C45-1)</f>
        <v>1.157625</v>
      </c>
      <c r="AB45" s="36" t="n">
        <f aca="false">O45*Assumptions!$E$27*AA45</f>
        <v>972.051728498763</v>
      </c>
      <c r="AC45" s="36" t="n">
        <f aca="false">(Q44+R44)*Assumptions!$E$28*AA45</f>
        <v>22096.8197706498</v>
      </c>
      <c r="AD45" s="36" t="n">
        <f aca="false">M45*Assumptions!$E$29*AA45</f>
        <v>2210.31584652943</v>
      </c>
      <c r="AE45" s="36" t="n">
        <f aca="false">T44*Assumptions!$E$30*AA45</f>
        <v>2628.78894962724</v>
      </c>
      <c r="AF45" s="36" t="n">
        <f aca="false">U44*Assumptions!$E$31*AA45</f>
        <v>6236.23444358087</v>
      </c>
      <c r="AG45" s="36" t="n">
        <f aca="false">X45*Assumptions!$E$37*Assumptions!$E$38</f>
        <v>6811.34394589044</v>
      </c>
      <c r="AH45" s="36" t="n">
        <f aca="false">Z45*Assumptions!$E$44*Assumptions!$E$45</f>
        <v>3973.28396843609</v>
      </c>
      <c r="AI45" s="36" t="n">
        <f aca="false">SUM(AB45:AH45)</f>
        <v>44928.8386532126</v>
      </c>
      <c r="AJ45" s="36" t="n">
        <f aca="false">(S45*Assumptions!$E$28+T45*Assumptions!$E$30+U45*Assumptions!$E$31)*AA45+AG45+AH45</f>
        <v>42514.4749312382</v>
      </c>
      <c r="AK45" s="36" t="n">
        <f aca="false">(AI45-AH45)*Assumptions!$E$49</f>
        <v>1433.44441396718</v>
      </c>
      <c r="AL45" s="36" t="n">
        <f aca="false">(AC45+AE45+AF45)*Assumptions!$E$50</f>
        <v>216.732902147005</v>
      </c>
      <c r="AM45" s="36" t="n">
        <f aca="false">S45*Assumptions!$E$51+M45*Assumptions!$E$52</f>
        <v>304.435040633725</v>
      </c>
      <c r="AN45" s="36" t="n">
        <f aca="false">Assumptions!$E$53+Assumptions!$E$54*(S45+T45+U45)</f>
        <v>601.760081014573</v>
      </c>
      <c r="AO45" s="36" t="n">
        <f aca="false">IF(C45&gt;=2,Assumptions!$E$55,0)</f>
        <v>200</v>
      </c>
      <c r="AP45" s="33" t="n">
        <f aca="false">E45*Assumptions!$E$60/60+F45*Assumptions!$E$61+J45*Assumptions!$E$62+(S45+T45)*Assumptions!$E$63+X45*Assumptions!$E$64+Z45*Assumptions!$E$65+U45*Assumptions!$E$66+Assumptions!$E$67*52/12</f>
        <v>451.549309095895</v>
      </c>
      <c r="AQ45" s="33" t="n">
        <f aca="false">IF(BC44=1,Assumptions!$E$69,Assumptions!$E$68)*52/12</f>
        <v>346.666666666667</v>
      </c>
      <c r="AR45" s="33" t="n">
        <f aca="false">MAX(0,AP45-AQ45)</f>
        <v>104.882642429229</v>
      </c>
      <c r="AS45" s="36" t="n">
        <f aca="false">AR45*Assumptions!$E$70*Assumptions!$E$71</f>
        <v>1006.87336732059</v>
      </c>
      <c r="AT45" s="36" t="n">
        <f aca="false">Assumptions!$E$56/12</f>
        <v>66.6666666666667</v>
      </c>
      <c r="AU45" s="36" t="n">
        <f aca="false">IF(A45=1,Assumptions!$E$57,0)+Assumptions!$E$58</f>
        <v>40</v>
      </c>
      <c r="AV45" s="36" t="n">
        <f aca="false">IF(AND(Y45&gt;0,Y45=A45),Assumptions!$E$46,0)+IF(Y45&gt;0,Assumptions!$E$47,0)</f>
        <v>50</v>
      </c>
      <c r="AW45" s="36" t="n">
        <f aca="false">AK45+AL45+AM45+AN45+AO45+AS45+AT45+AU45+AV45</f>
        <v>3919.91247174974</v>
      </c>
      <c r="AX45" s="36" t="n">
        <f aca="false">AI45-AW45</f>
        <v>41008.9261814629</v>
      </c>
      <c r="AY45" s="36" t="n">
        <f aca="false">MAX(0,AX45)*Assumptions!$E$73</f>
        <v>10252.2315453657</v>
      </c>
      <c r="AZ45" s="36" t="n">
        <f aca="false">AX45-AY45</f>
        <v>30756.6946360972</v>
      </c>
      <c r="BA45" s="36" t="n">
        <f aca="false">BA44+AZ45</f>
        <v>581317.451699301</v>
      </c>
      <c r="BB45" s="31" t="n">
        <f aca="false">IF(AZ45&gt;=Assumptions!$E$74/12,BB44+1,0)</f>
        <v>16</v>
      </c>
      <c r="BC45" s="31" t="n">
        <f aca="false">IF(OR(BC44=1,BB45&gt;=3),1,0)</f>
        <v>1</v>
      </c>
      <c r="BD45" s="31" t="n">
        <f aca="false">IF(AZ45&gt;=Assumptions!$E$75/12,BD44+1,0)</f>
        <v>27</v>
      </c>
      <c r="BE45" s="33" t="n">
        <f aca="false">AP45*12/52</f>
        <v>104.203686714437</v>
      </c>
      <c r="BF45" s="33" t="n">
        <f aca="false">AR45*12/52</f>
        <v>24.2036867144373</v>
      </c>
      <c r="BG45" s="31" t="n">
        <f aca="false">IF(AX45&gt;0,A45,999)</f>
        <v>41</v>
      </c>
      <c r="BH45" s="31" t="n">
        <f aca="false">IF(BB45&gt;=3,A45,999)</f>
        <v>41</v>
      </c>
      <c r="BI45" s="31" t="n">
        <f aca="false">IF(BD45&gt;=3,A45,999)</f>
        <v>41</v>
      </c>
    </row>
    <row r="46" customFormat="false" ht="15" hidden="false" customHeight="false" outlineLevel="0" collapsed="false">
      <c r="A46" s="31" t="n">
        <v>42</v>
      </c>
      <c r="B46" s="32" t="n">
        <f aca="false">DATE(2026,10+A46,1)</f>
        <v>47574</v>
      </c>
      <c r="C46" s="31" t="n">
        <f aca="false">INT((A46-1)/12)+1</f>
        <v>4</v>
      </c>
      <c r="D46" s="31" t="n">
        <f aca="false">IF(C46=1,Assumptions!$E$7,IF(C46=2,Assumptions!$E$8,Assumptions!$E$9))</f>
        <v>30</v>
      </c>
      <c r="E46" s="31" t="n">
        <f aca="false">D46*Assumptions!$E$10</f>
        <v>660</v>
      </c>
      <c r="F46" s="33" t="n">
        <f aca="false">E46*Assumptions!$E$11</f>
        <v>66</v>
      </c>
      <c r="G46" s="34" t="n">
        <f aca="false">MIN(1,Assumptions!$E$13+(1-Assumptions!$E$13)*(A46-1)/Assumptions!$E$14)</f>
        <v>1</v>
      </c>
      <c r="H46" s="33" t="n">
        <f aca="false">F46*Assumptions!$E$12*G46</f>
        <v>9.9</v>
      </c>
      <c r="I46" s="33" t="n">
        <f aca="false">Assumptions!$E$15*(Q45+R45+T45+U45)</f>
        <v>3.6132006076093</v>
      </c>
      <c r="J46" s="33" t="n">
        <f aca="false">H46+I46</f>
        <v>13.5132006076093</v>
      </c>
      <c r="K46" s="33" t="n">
        <f aca="false">J46*Assumptions!$E$18</f>
        <v>0.675660030380465</v>
      </c>
      <c r="L46" s="33" t="n">
        <f aca="false">(J46-K46)*Assumptions!$E$17</f>
        <v>8.98627840406018</v>
      </c>
      <c r="M46" s="33" t="n">
        <f aca="false">J46-K46-L46</f>
        <v>3.85126217316865</v>
      </c>
      <c r="N46" s="33" t="n">
        <f aca="false">L46*Assumptions!$E$19</f>
        <v>0.449313920203009</v>
      </c>
      <c r="O46" s="33" t="n">
        <f aca="false">L46-N46</f>
        <v>8.53696448385717</v>
      </c>
      <c r="P46" s="33" t="n">
        <f aca="false">O34*(1-Assumptions!$E$20)^12</f>
        <v>7.36926704175862</v>
      </c>
      <c r="Q46" s="33" t="n">
        <f aca="false">Q45*(1-Assumptions!$E$20)+O46-P46</f>
        <v>96.009573170134</v>
      </c>
      <c r="R46" s="33" t="n">
        <f aca="false">R45*(1-Assumptions!$E$22)+P46*(1-Assumptions!$E$21)</f>
        <v>106.387746798515</v>
      </c>
      <c r="S46" s="33" t="n">
        <f aca="false">Q46+R46</f>
        <v>202.397319968649</v>
      </c>
      <c r="T46" s="33" t="n">
        <f aca="false">T45*(1-Assumptions!$E$24)+M46*Assumptions!$E$23</f>
        <v>30.071204819446</v>
      </c>
      <c r="U46" s="33" t="n">
        <f aca="false">U45*(1-Assumptions!$E$25)+K46</f>
        <v>14.1650212835455</v>
      </c>
      <c r="V46" s="33" t="n">
        <f aca="false">V45+M46</f>
        <v>120.179432607147</v>
      </c>
      <c r="W46" s="33" t="n">
        <f aca="false">N46+Q45*Assumptions!$E$20+P46*Assumptions!$E$21+R45*Assumptions!$E$22+T45*Assumptions!$E$24+U45*Assumptions!$E$25</f>
        <v>5.4489377393542</v>
      </c>
      <c r="X46" s="33" t="n">
        <f aca="false">IF(A46&lt;Assumptions!$E$34,0,Assumptions!$E$36*MIN(1,(A46-Assumptions!$E$34+1)/Assumptions!$E$35))*(S46+T46)</f>
        <v>69.7405574364285</v>
      </c>
      <c r="Y46" s="31" t="n">
        <f aca="false">IF(Y45&gt;0,Y45,IF(AND(A46&gt;=Assumptions!$E$41,Q45+R45+T45&gt;=Assumptions!$E$40),A46,0))</f>
        <v>9</v>
      </c>
      <c r="Z46" s="33" t="n">
        <f aca="false">IF(Y46&gt;0,Assumptions!$E$42*MIN(1,(A46-Y46+1)/Assumptions!$E$43),0)*(S46+T46)</f>
        <v>116.234262394047</v>
      </c>
      <c r="AA46" s="35" t="n">
        <f aca="false">(1+Assumptions!$E$32)^(C46-1)</f>
        <v>1.157625</v>
      </c>
      <c r="AB46" s="36" t="n">
        <f aca="false">O46*Assumptions!$E$27*AA46</f>
        <v>978.377747551891</v>
      </c>
      <c r="AC46" s="36" t="n">
        <f aca="false">(Q45+R45)*Assumptions!$E$28*AA46</f>
        <v>22649.556900762</v>
      </c>
      <c r="AD46" s="36" t="n">
        <f aca="false">M46*Assumptions!$E$29*AA46</f>
        <v>2224.70036923397</v>
      </c>
      <c r="AE46" s="36" t="n">
        <f aca="false">T45*Assumptions!$E$30*AA46</f>
        <v>2689.8971864497</v>
      </c>
      <c r="AF46" s="36" t="n">
        <f aca="false">U45*Assumptions!$E$31*AA46</f>
        <v>6390.39292969988</v>
      </c>
      <c r="AG46" s="36" t="n">
        <f aca="false">X46*Assumptions!$E$37*Assumptions!$E$38</f>
        <v>6974.05574364284</v>
      </c>
      <c r="AH46" s="36" t="n">
        <f aca="false">Z46*Assumptions!$E$44*Assumptions!$E$45</f>
        <v>4068.19918379166</v>
      </c>
      <c r="AI46" s="36" t="n">
        <f aca="false">SUM(AB46:AH46)</f>
        <v>45975.180061132</v>
      </c>
      <c r="AJ46" s="36" t="n">
        <f aca="false">(S46*Assumptions!$E$28+T46*Assumptions!$E$30+U46*Assumptions!$E$31)*AA46+AG46+AH46</f>
        <v>43530.7729052087</v>
      </c>
      <c r="AK46" s="36" t="n">
        <f aca="false">(AI46-AH46)*Assumptions!$E$49</f>
        <v>1466.74433070691</v>
      </c>
      <c r="AL46" s="36" t="n">
        <f aca="false">(AC46+AE46+AF46)*Assumptions!$E$50</f>
        <v>222.108929118381</v>
      </c>
      <c r="AM46" s="36" t="n">
        <f aca="false">S46*Assumptions!$E$51+M46*Assumptions!$E$52</f>
        <v>310.765582558341</v>
      </c>
      <c r="AN46" s="36" t="n">
        <f aca="false">Assumptions!$E$53+Assumptions!$E$54*(S46+T46+U46)</f>
        <v>613.267092143281</v>
      </c>
      <c r="AO46" s="36" t="n">
        <f aca="false">IF(C46&gt;=2,Assumptions!$E$55,0)</f>
        <v>200</v>
      </c>
      <c r="AP46" s="33" t="n">
        <f aca="false">E46*Assumptions!$E$60/60+F46*Assumptions!$E$61+J46*Assumptions!$E$62+(S46+T46)*Assumptions!$E$63+X46*Assumptions!$E$64+Z46*Assumptions!$E$65+U46*Assumptions!$E$66+Assumptions!$E$67*52/12</f>
        <v>460.515702673367</v>
      </c>
      <c r="AQ46" s="33" t="n">
        <f aca="false">IF(BC45=1,Assumptions!$E$69,Assumptions!$E$68)*52/12</f>
        <v>346.666666666667</v>
      </c>
      <c r="AR46" s="33" t="n">
        <f aca="false">MAX(0,AP46-AQ46)</f>
        <v>113.849036006701</v>
      </c>
      <c r="AS46" s="36" t="n">
        <f aca="false">AR46*Assumptions!$E$70*Assumptions!$E$71</f>
        <v>1092.95074566433</v>
      </c>
      <c r="AT46" s="36" t="n">
        <f aca="false">Assumptions!$E$56/12</f>
        <v>66.6666666666667</v>
      </c>
      <c r="AU46" s="36" t="n">
        <f aca="false">IF(A46=1,Assumptions!$E$57,0)+Assumptions!$E$58</f>
        <v>40</v>
      </c>
      <c r="AV46" s="36" t="n">
        <f aca="false">IF(AND(Y46&gt;0,Y46=A46),Assumptions!$E$46,0)+IF(Y46&gt;0,Assumptions!$E$47,0)</f>
        <v>50</v>
      </c>
      <c r="AW46" s="36" t="n">
        <f aca="false">AK46+AL46+AM46+AN46+AO46+AS46+AT46+AU46+AV46</f>
        <v>4062.50334685791</v>
      </c>
      <c r="AX46" s="36" t="n">
        <f aca="false">AI46-AW46</f>
        <v>41912.6767142741</v>
      </c>
      <c r="AY46" s="36" t="n">
        <f aca="false">MAX(0,AX46)*Assumptions!$E$73</f>
        <v>10478.1691785685</v>
      </c>
      <c r="AZ46" s="36" t="n">
        <f aca="false">AX46-AY46</f>
        <v>31434.5075357056</v>
      </c>
      <c r="BA46" s="36" t="n">
        <f aca="false">BA45+AZ46</f>
        <v>612751.959235006</v>
      </c>
      <c r="BB46" s="31" t="n">
        <f aca="false">IF(AZ46&gt;=Assumptions!$E$74/12,BB45+1,0)</f>
        <v>17</v>
      </c>
      <c r="BC46" s="31" t="n">
        <f aca="false">IF(OR(BC45=1,BB46&gt;=3),1,0)</f>
        <v>1</v>
      </c>
      <c r="BD46" s="31" t="n">
        <f aca="false">IF(AZ46&gt;=Assumptions!$E$75/12,BD45+1,0)</f>
        <v>28</v>
      </c>
      <c r="BE46" s="33" t="n">
        <f aca="false">AP46*12/52</f>
        <v>106.272854463085</v>
      </c>
      <c r="BF46" s="33" t="n">
        <f aca="false">AR46*12/52</f>
        <v>26.2728544630847</v>
      </c>
      <c r="BG46" s="31" t="n">
        <f aca="false">IF(AX46&gt;0,A46,999)</f>
        <v>42</v>
      </c>
      <c r="BH46" s="31" t="n">
        <f aca="false">IF(BB46&gt;=3,A46,999)</f>
        <v>42</v>
      </c>
      <c r="BI46" s="31" t="n">
        <f aca="false">IF(BD46&gt;=3,A46,999)</f>
        <v>42</v>
      </c>
    </row>
    <row r="47" customFormat="false" ht="15" hidden="false" customHeight="false" outlineLevel="0" collapsed="false">
      <c r="A47" s="31" t="n">
        <v>43</v>
      </c>
      <c r="B47" s="32" t="n">
        <f aca="false">DATE(2026,10+A47,1)</f>
        <v>47604</v>
      </c>
      <c r="C47" s="31" t="n">
        <f aca="false">INT((A47-1)/12)+1</f>
        <v>4</v>
      </c>
      <c r="D47" s="31" t="n">
        <f aca="false">IF(C47=1,Assumptions!$E$7,IF(C47=2,Assumptions!$E$8,Assumptions!$E$9))</f>
        <v>30</v>
      </c>
      <c r="E47" s="31" t="n">
        <f aca="false">D47*Assumptions!$E$10</f>
        <v>660</v>
      </c>
      <c r="F47" s="33" t="n">
        <f aca="false">E47*Assumptions!$E$11</f>
        <v>66</v>
      </c>
      <c r="G47" s="34" t="n">
        <f aca="false">MIN(1,Assumptions!$E$13+(1-Assumptions!$E$13)*(A47-1)/Assumptions!$E$14)</f>
        <v>1</v>
      </c>
      <c r="H47" s="33" t="n">
        <f aca="false">F47*Assumptions!$E$12*G47</f>
        <v>9.9</v>
      </c>
      <c r="I47" s="33" t="n">
        <f aca="false">Assumptions!$E$15*(Q46+R46+T46+U46)</f>
        <v>3.69950319107461</v>
      </c>
      <c r="J47" s="33" t="n">
        <f aca="false">H47+I47</f>
        <v>13.5995031910746</v>
      </c>
      <c r="K47" s="33" t="n">
        <f aca="false">J47*Assumptions!$E$18</f>
        <v>0.67997515955373</v>
      </c>
      <c r="L47" s="33" t="n">
        <f aca="false">(J47-K47)*Assumptions!$E$17</f>
        <v>9.04366962206461</v>
      </c>
      <c r="M47" s="33" t="n">
        <f aca="false">J47-K47-L47</f>
        <v>3.87585840945626</v>
      </c>
      <c r="N47" s="33" t="n">
        <f aca="false">L47*Assumptions!$E$19</f>
        <v>0.452183481103231</v>
      </c>
      <c r="O47" s="33" t="n">
        <f aca="false">L47-N47</f>
        <v>8.59148614096138</v>
      </c>
      <c r="P47" s="33" t="n">
        <f aca="false">O35*(1-Assumptions!$E$20)^12</f>
        <v>7.42843910579058</v>
      </c>
      <c r="Q47" s="33" t="n">
        <f aca="false">Q46*(1-Assumptions!$E$20)+O47-P47</f>
        <v>96.6925723394541</v>
      </c>
      <c r="R47" s="33" t="n">
        <f aca="false">R46*(1-Assumptions!$E$22)+P47*(1-Assumptions!$E$21)</f>
        <v>110.413648323764</v>
      </c>
      <c r="S47" s="33" t="n">
        <f aca="false">Q47+R47</f>
        <v>207.106220663218</v>
      </c>
      <c r="T47" s="33" t="n">
        <f aca="false">T46*(1-Assumptions!$E$24)+M47*Assumptions!$E$23</f>
        <v>30.7194120386451</v>
      </c>
      <c r="U47" s="33" t="n">
        <f aca="false">U46*(1-Assumptions!$E$25)+K47</f>
        <v>14.4908709110106</v>
      </c>
      <c r="V47" s="33" t="n">
        <f aca="false">V46+M47</f>
        <v>124.055291016604</v>
      </c>
      <c r="W47" s="33" t="n">
        <f aca="false">N47+Q46*Assumptions!$E$20+P47*Assumptions!$E$21+R46*Assumptions!$E$22+T46*Assumptions!$E$24+U46*Assumptions!$E$25</f>
        <v>5.59103060416785</v>
      </c>
      <c r="X47" s="33" t="n">
        <f aca="false">IF(A47&lt;Assumptions!$E$34,0,Assumptions!$E$36*MIN(1,(A47-Assumptions!$E$34+1)/Assumptions!$E$35))*(S47+T47)</f>
        <v>71.3476898105588</v>
      </c>
      <c r="Y47" s="31" t="n">
        <f aca="false">IF(Y46&gt;0,Y46,IF(AND(A47&gt;=Assumptions!$E$41,Q46+R46+T46&gt;=Assumptions!$E$40),A47,0))</f>
        <v>9</v>
      </c>
      <c r="Z47" s="33" t="n">
        <f aca="false">IF(Y47&gt;0,Assumptions!$E$42*MIN(1,(A47-Y47+1)/Assumptions!$E$43),0)*(S47+T47)</f>
        <v>118.912816350931</v>
      </c>
      <c r="AA47" s="35" t="n">
        <f aca="false">(1+Assumptions!$E$32)^(C47-1)</f>
        <v>1.157625</v>
      </c>
      <c r="AB47" s="36" t="n">
        <f aca="false">O47*Assumptions!$E$27*AA47</f>
        <v>984.626195249112</v>
      </c>
      <c r="AC47" s="36" t="n">
        <f aca="false">(Q46+R46)*Assumptions!$E$28*AA47</f>
        <v>23195.719555342</v>
      </c>
      <c r="AD47" s="36" t="n">
        <f aca="false">M47*Assumptions!$E$29*AA47</f>
        <v>2238.90850503216</v>
      </c>
      <c r="AE47" s="36" t="n">
        <f aca="false">T46*Assumptions!$E$30*AA47</f>
        <v>2750.08309984978</v>
      </c>
      <c r="AF47" s="36" t="n">
        <f aca="false">U46*Assumptions!$E$31*AA47</f>
        <v>6542.71532258239</v>
      </c>
      <c r="AG47" s="36" t="n">
        <f aca="false">X47*Assumptions!$E$37*Assumptions!$E$38</f>
        <v>7134.76898105588</v>
      </c>
      <c r="AH47" s="36" t="n">
        <f aca="false">Z47*Assumptions!$E$44*Assumptions!$E$45</f>
        <v>4161.9485722826</v>
      </c>
      <c r="AI47" s="36" t="n">
        <f aca="false">SUM(AB47:AH47)</f>
        <v>47008.7702313939</v>
      </c>
      <c r="AJ47" s="36" t="n">
        <f aca="false">(S47*Assumptions!$E$28+T47*Assumptions!$E$30+U47*Assumptions!$E$31)*AA47+AG47+AH47</f>
        <v>44534.6860546117</v>
      </c>
      <c r="AK47" s="36" t="n">
        <f aca="false">(AI47-AH47)*Assumptions!$E$49</f>
        <v>1499.6387580689</v>
      </c>
      <c r="AL47" s="36" t="n">
        <f aca="false">(AC47+AE47+AF47)*Assumptions!$E$50</f>
        <v>227.419625844419</v>
      </c>
      <c r="AM47" s="36" t="n">
        <f aca="false">S47*Assumptions!$E$51+M47*Assumptions!$E$52</f>
        <v>317.020651970866</v>
      </c>
      <c r="AN47" s="36" t="n">
        <f aca="false">Assumptions!$E$53+Assumptions!$E$54*(S47+T47+U47)</f>
        <v>624.633007225747</v>
      </c>
      <c r="AO47" s="36" t="n">
        <f aca="false">IF(C47&gt;=2,Assumptions!$E$55,0)</f>
        <v>200</v>
      </c>
      <c r="AP47" s="33" t="n">
        <f aca="false">E47*Assumptions!$E$60/60+F47*Assumptions!$E$61+J47*Assumptions!$E$62+(S47+T47)*Assumptions!$E$63+X47*Assumptions!$E$64+Z47*Assumptions!$E$65+U47*Assumptions!$E$66+Assumptions!$E$67*52/12</f>
        <v>469.372572671633</v>
      </c>
      <c r="AQ47" s="33" t="n">
        <f aca="false">IF(BC46=1,Assumptions!$E$69,Assumptions!$E$68)*52/12</f>
        <v>346.666666666667</v>
      </c>
      <c r="AR47" s="33" t="n">
        <f aca="false">MAX(0,AP47-AQ47)</f>
        <v>122.705906004967</v>
      </c>
      <c r="AS47" s="36" t="n">
        <f aca="false">AR47*Assumptions!$E$70*Assumptions!$E$71</f>
        <v>1177.97669764768</v>
      </c>
      <c r="AT47" s="36" t="n">
        <f aca="false">Assumptions!$E$56/12</f>
        <v>66.6666666666667</v>
      </c>
      <c r="AU47" s="36" t="n">
        <f aca="false">IF(A47=1,Assumptions!$E$57,0)+Assumptions!$E$58</f>
        <v>40</v>
      </c>
      <c r="AV47" s="36" t="n">
        <f aca="false">IF(AND(Y47&gt;0,Y47=A47),Assumptions!$E$46,0)+IF(Y47&gt;0,Assumptions!$E$47,0)</f>
        <v>50</v>
      </c>
      <c r="AW47" s="36" t="n">
        <f aca="false">AK47+AL47+AM47+AN47+AO47+AS47+AT47+AU47+AV47</f>
        <v>4203.35540742427</v>
      </c>
      <c r="AX47" s="36" t="n">
        <f aca="false">AI47-AW47</f>
        <v>42805.4148239697</v>
      </c>
      <c r="AY47" s="36" t="n">
        <f aca="false">MAX(0,AX47)*Assumptions!$E$73</f>
        <v>10701.3537059924</v>
      </c>
      <c r="AZ47" s="36" t="n">
        <f aca="false">AX47-AY47</f>
        <v>32104.0611179772</v>
      </c>
      <c r="BA47" s="36" t="n">
        <f aca="false">BA46+AZ47</f>
        <v>644856.020352983</v>
      </c>
      <c r="BB47" s="31" t="n">
        <f aca="false">IF(AZ47&gt;=Assumptions!$E$74/12,BB46+1,0)</f>
        <v>18</v>
      </c>
      <c r="BC47" s="31" t="n">
        <f aca="false">IF(OR(BC46=1,BB47&gt;=3),1,0)</f>
        <v>1</v>
      </c>
      <c r="BD47" s="31" t="n">
        <f aca="false">IF(AZ47&gt;=Assumptions!$E$75/12,BD46+1,0)</f>
        <v>29</v>
      </c>
      <c r="BE47" s="33" t="n">
        <f aca="false">AP47*12/52</f>
        <v>108.316747539608</v>
      </c>
      <c r="BF47" s="33" t="n">
        <f aca="false">AR47*12/52</f>
        <v>28.3167475396077</v>
      </c>
      <c r="BG47" s="31" t="n">
        <f aca="false">IF(AX47&gt;0,A47,999)</f>
        <v>43</v>
      </c>
      <c r="BH47" s="31" t="n">
        <f aca="false">IF(BB47&gt;=3,A47,999)</f>
        <v>43</v>
      </c>
      <c r="BI47" s="31" t="n">
        <f aca="false">IF(BD47&gt;=3,A47,999)</f>
        <v>43</v>
      </c>
    </row>
    <row r="48" customFormat="false" ht="15" hidden="false" customHeight="false" outlineLevel="0" collapsed="false">
      <c r="A48" s="31" t="n">
        <v>44</v>
      </c>
      <c r="B48" s="32" t="n">
        <f aca="false">DATE(2026,10+A48,1)</f>
        <v>47635</v>
      </c>
      <c r="C48" s="31" t="n">
        <f aca="false">INT((A48-1)/12)+1</f>
        <v>4</v>
      </c>
      <c r="D48" s="31" t="n">
        <f aca="false">IF(C48=1,Assumptions!$E$7,IF(C48=2,Assumptions!$E$8,Assumptions!$E$9))</f>
        <v>30</v>
      </c>
      <c r="E48" s="31" t="n">
        <f aca="false">D48*Assumptions!$E$10</f>
        <v>660</v>
      </c>
      <c r="F48" s="33" t="n">
        <f aca="false">E48*Assumptions!$E$11</f>
        <v>66</v>
      </c>
      <c r="G48" s="34" t="n">
        <f aca="false">MIN(1,Assumptions!$E$13+(1-Assumptions!$E$13)*(A48-1)/Assumptions!$E$14)</f>
        <v>1</v>
      </c>
      <c r="H48" s="33" t="n">
        <f aca="false">F48*Assumptions!$E$12*G48</f>
        <v>9.9</v>
      </c>
      <c r="I48" s="33" t="n">
        <f aca="false">Assumptions!$E$15*(Q47+R47+T47+U47)</f>
        <v>3.7847475541931</v>
      </c>
      <c r="J48" s="33" t="n">
        <f aca="false">H48+I48</f>
        <v>13.6847475541931</v>
      </c>
      <c r="K48" s="33" t="n">
        <f aca="false">J48*Assumptions!$E$18</f>
        <v>0.684237377709655</v>
      </c>
      <c r="L48" s="33" t="n">
        <f aca="false">(J48-K48)*Assumptions!$E$17</f>
        <v>9.10035712353841</v>
      </c>
      <c r="M48" s="33" t="n">
        <f aca="false">J48-K48-L48</f>
        <v>3.90015305294503</v>
      </c>
      <c r="N48" s="33" t="n">
        <f aca="false">L48*Assumptions!$E$19</f>
        <v>0.455017856176921</v>
      </c>
      <c r="O48" s="33" t="n">
        <f aca="false">L48-N48</f>
        <v>8.64533926736149</v>
      </c>
      <c r="P48" s="33" t="n">
        <f aca="false">O36*(1-Assumptions!$E$20)^12</f>
        <v>7.48706035406419</v>
      </c>
      <c r="Q48" s="33" t="n">
        <f aca="false">Q47*(1-Assumptions!$E$20)+O48-P48</f>
        <v>97.3673883910541</v>
      </c>
      <c r="R48" s="33" t="n">
        <f aca="false">R47*(1-Assumptions!$E$22)+P48*(1-Assumptions!$E$21)</f>
        <v>114.391661434327</v>
      </c>
      <c r="S48" s="33" t="n">
        <f aca="false">Q48+R48</f>
        <v>211.759049825381</v>
      </c>
      <c r="T48" s="33" t="n">
        <f aca="false">T47*(1-Assumptions!$E$24)+M48*Assumptions!$E$23</f>
        <v>31.3578908986638</v>
      </c>
      <c r="U48" s="33" t="n">
        <f aca="false">U47*(1-Assumptions!$E$25)+K48</f>
        <v>14.812836515945</v>
      </c>
      <c r="V48" s="33" t="n">
        <f aca="false">V47+M48</f>
        <v>127.955444069549</v>
      </c>
      <c r="W48" s="33" t="n">
        <f aca="false">N48+Q47*Assumptions!$E$20+P48*Assumptions!$E$21+R47*Assumptions!$E$22+T47*Assumptions!$E$24+U47*Assumptions!$E$25</f>
        <v>5.73138209530932</v>
      </c>
      <c r="X48" s="33" t="n">
        <f aca="false">IF(A48&lt;Assumptions!$E$34,0,Assumptions!$E$36*MIN(1,(A48-Assumptions!$E$34+1)/Assumptions!$E$35))*(S48+T48)</f>
        <v>72.9350822172135</v>
      </c>
      <c r="Y48" s="31" t="n">
        <f aca="false">IF(Y47&gt;0,Y47,IF(AND(A48&gt;=Assumptions!$E$41,Q47+R47+T47&gt;=Assumptions!$E$40),A48,0))</f>
        <v>9</v>
      </c>
      <c r="Z48" s="33" t="n">
        <f aca="false">IF(Y48&gt;0,Assumptions!$E$42*MIN(1,(A48-Y48+1)/Assumptions!$E$43),0)*(S48+T48)</f>
        <v>121.558470362023</v>
      </c>
      <c r="AA48" s="35" t="n">
        <f aca="false">(1+Assumptions!$E$32)^(C48-1)</f>
        <v>1.157625</v>
      </c>
      <c r="AB48" s="36" t="n">
        <f aca="false">O48*Assumptions!$E$27*AA48</f>
        <v>990.798026068555</v>
      </c>
      <c r="AC48" s="36" t="n">
        <f aca="false">(Q47+R47)*Assumptions!$E$28*AA48</f>
        <v>23735.3825308305</v>
      </c>
      <c r="AD48" s="36" t="n">
        <f aca="false">M48*Assumptions!$E$29*AA48</f>
        <v>2252.94242427983</v>
      </c>
      <c r="AE48" s="36" t="n">
        <f aca="false">T47*Assumptions!$E$30*AA48</f>
        <v>2809.36318953769</v>
      </c>
      <c r="AF48" s="36" t="n">
        <f aca="false">U47*Assumptions!$E$31*AA48</f>
        <v>6693.22278090511</v>
      </c>
      <c r="AG48" s="36" t="n">
        <f aca="false">X48*Assumptions!$E$37*Assumptions!$E$38</f>
        <v>7293.50822172135</v>
      </c>
      <c r="AH48" s="36" t="n">
        <f aca="false">Z48*Assumptions!$E$44*Assumptions!$E$45</f>
        <v>4254.54646267079</v>
      </c>
      <c r="AI48" s="36" t="n">
        <f aca="false">SUM(AB48:AH48)</f>
        <v>48029.7636360138</v>
      </c>
      <c r="AJ48" s="36" t="n">
        <f aca="false">(S48*Assumptions!$E$28+T48*Assumptions!$E$30+U48*Assumptions!$E$31)*AA48+AG48+AH48</f>
        <v>45526.363956259</v>
      </c>
      <c r="AK48" s="36" t="n">
        <f aca="false">(AI48-AH48)*Assumptions!$E$49</f>
        <v>1532.13260106701</v>
      </c>
      <c r="AL48" s="36" t="n">
        <f aca="false">(AC48+AE48+AF48)*Assumptions!$E$50</f>
        <v>232.665779508913</v>
      </c>
      <c r="AM48" s="36" t="n">
        <f aca="false">S48*Assumptions!$E$51+M48*Assumptions!$E$52</f>
        <v>323.201108075902</v>
      </c>
      <c r="AN48" s="36" t="n">
        <f aca="false">Assumptions!$E$53+Assumptions!$E$54*(S48+T48+U48)</f>
        <v>635.85955447998</v>
      </c>
      <c r="AO48" s="36" t="n">
        <f aca="false">IF(C48&gt;=2,Assumptions!$E$55,0)</f>
        <v>200</v>
      </c>
      <c r="AP48" s="33" t="n">
        <f aca="false">E48*Assumptions!$E$60/60+F48*Assumptions!$E$61+J48*Assumptions!$E$62+(S48+T48)*Assumptions!$E$63+X48*Assumptions!$E$64+Z48*Assumptions!$E$65+U48*Assumptions!$E$66+Assumptions!$E$67*52/12</f>
        <v>478.121250370374</v>
      </c>
      <c r="AQ48" s="33" t="n">
        <f aca="false">IF(BC47=1,Assumptions!$E$69,Assumptions!$E$68)*52/12</f>
        <v>346.666666666667</v>
      </c>
      <c r="AR48" s="33" t="n">
        <f aca="false">MAX(0,AP48-AQ48)</f>
        <v>131.454583703708</v>
      </c>
      <c r="AS48" s="36" t="n">
        <f aca="false">AR48*Assumptions!$E$70*Assumptions!$E$71</f>
        <v>1261.96400355559</v>
      </c>
      <c r="AT48" s="36" t="n">
        <f aca="false">Assumptions!$E$56/12</f>
        <v>66.6666666666667</v>
      </c>
      <c r="AU48" s="36" t="n">
        <f aca="false">IF(A48=1,Assumptions!$E$57,0)+Assumptions!$E$58</f>
        <v>40</v>
      </c>
      <c r="AV48" s="36" t="n">
        <f aca="false">IF(AND(Y48&gt;0,Y48=A48),Assumptions!$E$46,0)+IF(Y48&gt;0,Assumptions!$E$47,0)</f>
        <v>50</v>
      </c>
      <c r="AW48" s="36" t="n">
        <f aca="false">AK48+AL48+AM48+AN48+AO48+AS48+AT48+AU48+AV48</f>
        <v>4342.48971335406</v>
      </c>
      <c r="AX48" s="36" t="n">
        <f aca="false">AI48-AW48</f>
        <v>43687.2739226597</v>
      </c>
      <c r="AY48" s="36" t="n">
        <f aca="false">MAX(0,AX48)*Assumptions!$E$73</f>
        <v>10921.8184806649</v>
      </c>
      <c r="AZ48" s="36" t="n">
        <f aca="false">AX48-AY48</f>
        <v>32765.4554419948</v>
      </c>
      <c r="BA48" s="36" t="n">
        <f aca="false">BA47+AZ48</f>
        <v>677621.475794978</v>
      </c>
      <c r="BB48" s="31" t="n">
        <f aca="false">IF(AZ48&gt;=Assumptions!$E$74/12,BB47+1,0)</f>
        <v>19</v>
      </c>
      <c r="BC48" s="31" t="n">
        <f aca="false">IF(OR(BC47=1,BB48&gt;=3),1,0)</f>
        <v>1</v>
      </c>
      <c r="BD48" s="31" t="n">
        <f aca="false">IF(AZ48&gt;=Assumptions!$E$75/12,BD47+1,0)</f>
        <v>30</v>
      </c>
      <c r="BE48" s="33" t="n">
        <f aca="false">AP48*12/52</f>
        <v>110.335673162394</v>
      </c>
      <c r="BF48" s="33" t="n">
        <f aca="false">AR48*12/52</f>
        <v>30.3356731623941</v>
      </c>
      <c r="BG48" s="31" t="n">
        <f aca="false">IF(AX48&gt;0,A48,999)</f>
        <v>44</v>
      </c>
      <c r="BH48" s="31" t="n">
        <f aca="false">IF(BB48&gt;=3,A48,999)</f>
        <v>44</v>
      </c>
      <c r="BI48" s="31" t="n">
        <f aca="false">IF(BD48&gt;=3,A48,999)</f>
        <v>44</v>
      </c>
    </row>
    <row r="49" customFormat="false" ht="15" hidden="false" customHeight="false" outlineLevel="0" collapsed="false">
      <c r="A49" s="31" t="n">
        <v>45</v>
      </c>
      <c r="B49" s="32" t="n">
        <f aca="false">DATE(2026,10+A49,1)</f>
        <v>47665</v>
      </c>
      <c r="C49" s="31" t="n">
        <f aca="false">INT((A49-1)/12)+1</f>
        <v>4</v>
      </c>
      <c r="D49" s="31" t="n">
        <f aca="false">IF(C49=1,Assumptions!$E$7,IF(C49=2,Assumptions!$E$8,Assumptions!$E$9))</f>
        <v>30</v>
      </c>
      <c r="E49" s="31" t="n">
        <f aca="false">D49*Assumptions!$E$10</f>
        <v>660</v>
      </c>
      <c r="F49" s="33" t="n">
        <f aca="false">E49*Assumptions!$E$11</f>
        <v>66</v>
      </c>
      <c r="G49" s="34" t="n">
        <f aca="false">MIN(1,Assumptions!$E$13+(1-Assumptions!$E$13)*(A49-1)/Assumptions!$E$14)</f>
        <v>1</v>
      </c>
      <c r="H49" s="33" t="n">
        <f aca="false">F49*Assumptions!$E$12*G49</f>
        <v>9.9</v>
      </c>
      <c r="I49" s="33" t="n">
        <f aca="false">Assumptions!$E$15*(Q48+R48+T48+U48)</f>
        <v>3.86894665859985</v>
      </c>
      <c r="J49" s="33" t="n">
        <f aca="false">H49+I49</f>
        <v>13.7689466585999</v>
      </c>
      <c r="K49" s="33" t="n">
        <f aca="false">J49*Assumptions!$E$18</f>
        <v>0.688447332929993</v>
      </c>
      <c r="L49" s="33" t="n">
        <f aca="false">(J49-K49)*Assumptions!$E$17</f>
        <v>9.1563495279689</v>
      </c>
      <c r="M49" s="33" t="n">
        <f aca="false">J49-K49-L49</f>
        <v>3.92414979770096</v>
      </c>
      <c r="N49" s="33" t="n">
        <f aca="false">L49*Assumptions!$E$19</f>
        <v>0.457817476398445</v>
      </c>
      <c r="O49" s="33" t="n">
        <f aca="false">L49-N49</f>
        <v>8.69853205157046</v>
      </c>
      <c r="P49" s="33" t="n">
        <f aca="false">O37*(1-Assumptions!$E$20)^12</f>
        <v>7.54513893039576</v>
      </c>
      <c r="Q49" s="33" t="n">
        <f aca="false">Q48*(1-Assumptions!$E$20)+O49-P49</f>
        <v>98.0339445702735</v>
      </c>
      <c r="R49" s="33" t="n">
        <f aca="false">R48*(1-Assumptions!$E$22)+P49*(1-Assumptions!$E$21)</f>
        <v>118.322494935825</v>
      </c>
      <c r="S49" s="33" t="n">
        <f aca="false">Q49+R49</f>
        <v>216.356439506099</v>
      </c>
      <c r="T49" s="33" t="n">
        <f aca="false">T48*(1-Assumptions!$E$24)+M49*Assumptions!$E$23</f>
        <v>31.9868140907843</v>
      </c>
      <c r="U49" s="33" t="n">
        <f aca="false">U48*(1-Assumptions!$E$25)+K49</f>
        <v>15.1309629359764</v>
      </c>
      <c r="V49" s="33" t="n">
        <f aca="false">V48+M49</f>
        <v>131.87959386725</v>
      </c>
      <c r="W49" s="33" t="n">
        <f aca="false">N49+Q48*Assumptions!$E$20+P49*Assumptions!$E$21+R48*Assumptions!$E$22+T48*Assumptions!$E$24+U48*Assumptions!$E$25</f>
        <v>5.87001748711001</v>
      </c>
      <c r="X49" s="33" t="n">
        <f aca="false">IF(A49&lt;Assumptions!$E$34,0,Assumptions!$E$36*MIN(1,(A49-Assumptions!$E$34+1)/Assumptions!$E$35))*(S49+T49)</f>
        <v>74.5029760790649</v>
      </c>
      <c r="Y49" s="31" t="n">
        <f aca="false">IF(Y48&gt;0,Y48,IF(AND(A49&gt;=Assumptions!$E$41,Q48+R48+T48&gt;=Assumptions!$E$40),A49,0))</f>
        <v>9</v>
      </c>
      <c r="Z49" s="33" t="n">
        <f aca="false">IF(Y49&gt;0,Assumptions!$E$42*MIN(1,(A49-Y49+1)/Assumptions!$E$43),0)*(S49+T49)</f>
        <v>124.171626798442</v>
      </c>
      <c r="AA49" s="35" t="n">
        <f aca="false">(1+Assumptions!$E$32)^(C49-1)</f>
        <v>1.157625</v>
      </c>
      <c r="AB49" s="36" t="n">
        <f aca="false">O49*Assumptions!$E$27*AA49</f>
        <v>996.894178453726</v>
      </c>
      <c r="AC49" s="36" t="n">
        <f aca="false">(Q48+R48)*Assumptions!$E$28*AA49</f>
        <v>24268.6194353566</v>
      </c>
      <c r="AD49" s="36" t="n">
        <f aca="false">M49*Assumptions!$E$29*AA49</f>
        <v>2266.80426087222</v>
      </c>
      <c r="AE49" s="36" t="n">
        <f aca="false">T48*Assumptions!$E$30*AA49</f>
        <v>2867.75359767369</v>
      </c>
      <c r="AF49" s="36" t="n">
        <f aca="false">U48*Assumptions!$E$31*AA49</f>
        <v>6841.93623883657</v>
      </c>
      <c r="AG49" s="36" t="n">
        <f aca="false">X49*Assumptions!$E$37*Assumptions!$E$38</f>
        <v>7450.29760790649</v>
      </c>
      <c r="AH49" s="36" t="n">
        <f aca="false">Z49*Assumptions!$E$44*Assumptions!$E$45</f>
        <v>4346.00693794545</v>
      </c>
      <c r="AI49" s="36" t="n">
        <f aca="false">SUM(AB49:AH49)</f>
        <v>49038.3122570447</v>
      </c>
      <c r="AJ49" s="36" t="n">
        <f aca="false">(S49*Assumptions!$E$28+T49*Assumptions!$E$30+U49*Assumptions!$E$31)*AA49+AG49+AH49</f>
        <v>46505.9537747142</v>
      </c>
      <c r="AK49" s="36" t="n">
        <f aca="false">(AI49-AH49)*Assumptions!$E$49</f>
        <v>1564.23068616848</v>
      </c>
      <c r="AL49" s="36" t="n">
        <f aca="false">(AC49+AE49+AF49)*Assumptions!$E$50</f>
        <v>237.848164903068</v>
      </c>
      <c r="AM49" s="36" t="n">
        <f aca="false">S49*Assumptions!$E$51+M49*Assumptions!$E$52</f>
        <v>329.307796348138</v>
      </c>
      <c r="AN49" s="36" t="n">
        <f aca="false">Assumptions!$E$53+Assumptions!$E$54*(S49+T49+U49)</f>
        <v>646.948433065719</v>
      </c>
      <c r="AO49" s="36" t="n">
        <f aca="false">IF(C49&gt;=2,Assumptions!$E$55,0)</f>
        <v>200</v>
      </c>
      <c r="AP49" s="33" t="n">
        <f aca="false">E49*Assumptions!$E$60/60+F49*Assumptions!$E$61+J49*Assumptions!$E$62+(S49+T49)*Assumptions!$E$63+X49*Assumptions!$E$64+Z49*Assumptions!$E$65+U49*Assumptions!$E$66+Assumptions!$E$67*52/12</f>
        <v>486.763045683652</v>
      </c>
      <c r="AQ49" s="33" t="n">
        <f aca="false">IF(BC48=1,Assumptions!$E$69,Assumptions!$E$68)*52/12</f>
        <v>346.666666666667</v>
      </c>
      <c r="AR49" s="33" t="n">
        <f aca="false">MAX(0,AP49-AQ49)</f>
        <v>140.096379016985</v>
      </c>
      <c r="AS49" s="36" t="n">
        <f aca="false">AR49*Assumptions!$E$70*Assumptions!$E$71</f>
        <v>1344.92523856306</v>
      </c>
      <c r="AT49" s="36" t="n">
        <f aca="false">Assumptions!$E$56/12</f>
        <v>66.6666666666667</v>
      </c>
      <c r="AU49" s="36" t="n">
        <f aca="false">IF(A49=1,Assumptions!$E$57,0)+Assumptions!$E$58</f>
        <v>40</v>
      </c>
      <c r="AV49" s="36" t="n">
        <f aca="false">IF(AND(Y49&gt;0,Y49=A49),Assumptions!$E$46,0)+IF(Y49&gt;0,Assumptions!$E$47,0)</f>
        <v>50</v>
      </c>
      <c r="AW49" s="36" t="n">
        <f aca="false">AK49+AL49+AM49+AN49+AO49+AS49+AT49+AU49+AV49</f>
        <v>4479.92698571512</v>
      </c>
      <c r="AX49" s="36" t="n">
        <f aca="false">AI49-AW49</f>
        <v>44558.3852713296</v>
      </c>
      <c r="AY49" s="36" t="n">
        <f aca="false">MAX(0,AX49)*Assumptions!$E$73</f>
        <v>11139.5963178324</v>
      </c>
      <c r="AZ49" s="36" t="n">
        <f aca="false">AX49-AY49</f>
        <v>33418.7889534972</v>
      </c>
      <c r="BA49" s="36" t="n">
        <f aca="false">BA48+AZ49</f>
        <v>711040.264748475</v>
      </c>
      <c r="BB49" s="31" t="n">
        <f aca="false">IF(AZ49&gt;=Assumptions!$E$74/12,BB48+1,0)</f>
        <v>20</v>
      </c>
      <c r="BC49" s="31" t="n">
        <f aca="false">IF(OR(BC48=1,BB49&gt;=3),1,0)</f>
        <v>1</v>
      </c>
      <c r="BD49" s="31" t="n">
        <f aca="false">IF(AZ49&gt;=Assumptions!$E$75/12,BD48+1,0)</f>
        <v>31</v>
      </c>
      <c r="BE49" s="33" t="n">
        <f aca="false">AP49*12/52</f>
        <v>112.329933619304</v>
      </c>
      <c r="BF49" s="33" t="n">
        <f aca="false">AR49*12/52</f>
        <v>32.3299336193042</v>
      </c>
      <c r="BG49" s="31" t="n">
        <f aca="false">IF(AX49&gt;0,A49,999)</f>
        <v>45</v>
      </c>
      <c r="BH49" s="31" t="n">
        <f aca="false">IF(BB49&gt;=3,A49,999)</f>
        <v>45</v>
      </c>
      <c r="BI49" s="31" t="n">
        <f aca="false">IF(BD49&gt;=3,A49,999)</f>
        <v>45</v>
      </c>
    </row>
    <row r="50" customFormat="false" ht="15" hidden="false" customHeight="false" outlineLevel="0" collapsed="false">
      <c r="A50" s="31" t="n">
        <v>46</v>
      </c>
      <c r="B50" s="32" t="n">
        <f aca="false">DATE(2026,10+A50,1)</f>
        <v>47696</v>
      </c>
      <c r="C50" s="31" t="n">
        <f aca="false">INT((A50-1)/12)+1</f>
        <v>4</v>
      </c>
      <c r="D50" s="31" t="n">
        <f aca="false">IF(C50=1,Assumptions!$E$7,IF(C50=2,Assumptions!$E$8,Assumptions!$E$9))</f>
        <v>30</v>
      </c>
      <c r="E50" s="31" t="n">
        <f aca="false">D50*Assumptions!$E$10</f>
        <v>660</v>
      </c>
      <c r="F50" s="33" t="n">
        <f aca="false">E50*Assumptions!$E$11</f>
        <v>66</v>
      </c>
      <c r="G50" s="34" t="n">
        <f aca="false">MIN(1,Assumptions!$E$13+(1-Assumptions!$E$13)*(A50-1)/Assumptions!$E$14)</f>
        <v>1</v>
      </c>
      <c r="H50" s="33" t="n">
        <f aca="false">F50*Assumptions!$E$12*G50</f>
        <v>9.9</v>
      </c>
      <c r="I50" s="33" t="n">
        <f aca="false">Assumptions!$E$15*(Q49+R49+T49+U49)</f>
        <v>3.95211324799289</v>
      </c>
      <c r="J50" s="33" t="n">
        <f aca="false">H50+I50</f>
        <v>13.8521132479929</v>
      </c>
      <c r="K50" s="33" t="n">
        <f aca="false">J50*Assumptions!$E$18</f>
        <v>0.692605662399645</v>
      </c>
      <c r="L50" s="33" t="n">
        <f aca="false">(J50-K50)*Assumptions!$E$17</f>
        <v>9.21165530991527</v>
      </c>
      <c r="M50" s="33" t="n">
        <f aca="false">J50-K50-L50</f>
        <v>3.94785227567797</v>
      </c>
      <c r="N50" s="33" t="n">
        <f aca="false">L50*Assumptions!$E$19</f>
        <v>0.460582765495764</v>
      </c>
      <c r="O50" s="33" t="n">
        <f aca="false">L50-N50</f>
        <v>8.75107254441951</v>
      </c>
      <c r="P50" s="33" t="n">
        <f aca="false">O38*(1-Assumptions!$E$20)^12</f>
        <v>7.60268283755639</v>
      </c>
      <c r="Q50" s="33" t="n">
        <f aca="false">Q49*(1-Assumptions!$E$20)+O50-P50</f>
        <v>98.6921645542853</v>
      </c>
      <c r="R50" s="33" t="n">
        <f aca="false">R49*(1-Assumptions!$E$22)+P50*(1-Assumptions!$E$21)</f>
        <v>122.20684711623</v>
      </c>
      <c r="S50" s="33" t="n">
        <f aca="false">Q50+R50</f>
        <v>220.899011670516</v>
      </c>
      <c r="T50" s="33" t="n">
        <f aca="false">T49*(1-Assumptions!$E$24)+M50*Assumptions!$E$23</f>
        <v>32.6063505783319</v>
      </c>
      <c r="U50" s="33" t="n">
        <f aca="false">U49*(1-Assumptions!$E$25)+K50</f>
        <v>15.4452945249766</v>
      </c>
      <c r="V50" s="33" t="n">
        <f aca="false">V49+M50</f>
        <v>135.827446142928</v>
      </c>
      <c r="W50" s="33" t="n">
        <f aca="false">N50+Q49*Assumptions!$E$20+P50*Assumptions!$E$21+R49*Assumptions!$E$22+T49*Assumptions!$E$24+U49*Assumptions!$E$25</f>
        <v>6.00696164162134</v>
      </c>
      <c r="X50" s="33" t="n">
        <f aca="false">IF(A50&lt;Assumptions!$E$34,0,Assumptions!$E$36*MIN(1,(A50-Assumptions!$E$34+1)/Assumptions!$E$35))*(S50+T50)</f>
        <v>76.0516086746543</v>
      </c>
      <c r="Y50" s="31" t="n">
        <f aca="false">IF(Y49&gt;0,Y49,IF(AND(A50&gt;=Assumptions!$E$41,Q49+R49+T49&gt;=Assumptions!$E$40),A50,0))</f>
        <v>9</v>
      </c>
      <c r="Z50" s="33" t="n">
        <f aca="false">IF(Y50&gt;0,Assumptions!$E$42*MIN(1,(A50-Y50+1)/Assumptions!$E$43),0)*(S50+T50)</f>
        <v>126.752681124424</v>
      </c>
      <c r="AA50" s="35" t="n">
        <f aca="false">(1+Assumptions!$E$32)^(C50-1)</f>
        <v>1.157625</v>
      </c>
      <c r="AB50" s="36" t="n">
        <f aca="false">O50*Assumptions!$E$27*AA50</f>
        <v>1002.91557506913</v>
      </c>
      <c r="AC50" s="36" t="n">
        <f aca="false">(Q49+R49)*Assumptions!$E$28*AA50</f>
        <v>24795.5027050415</v>
      </c>
      <c r="AD50" s="36" t="n">
        <f aca="false">M50*Assumptions!$E$29*AA50</f>
        <v>2280.49611282523</v>
      </c>
      <c r="AE50" s="36" t="n">
        <f aca="false">T49*Assumptions!$E$30*AA50</f>
        <v>2925.27011728569</v>
      </c>
      <c r="AF50" s="36" t="n">
        <f aca="false">U49*Assumptions!$E$31*AA50</f>
        <v>6988.8764065351</v>
      </c>
      <c r="AG50" s="36" t="n">
        <f aca="false">X50*Assumptions!$E$37*Assumptions!$E$38</f>
        <v>7605.16086746543</v>
      </c>
      <c r="AH50" s="36" t="n">
        <f aca="false">Z50*Assumptions!$E$44*Assumptions!$E$45</f>
        <v>4436.34383935483</v>
      </c>
      <c r="AI50" s="36" t="n">
        <f aca="false">SUM(AB50:AH50)</f>
        <v>50034.5656235769</v>
      </c>
      <c r="AJ50" s="36" t="n">
        <f aca="false">(S50*Assumptions!$E$28+T50*Assumptions!$E$30+U50*Assumptions!$E$31)*AA50+AG50+AH50</f>
        <v>47473.6002981303</v>
      </c>
      <c r="AK50" s="36" t="n">
        <f aca="false">(AI50-AH50)*Assumptions!$E$49</f>
        <v>1595.93776244777</v>
      </c>
      <c r="AL50" s="36" t="n">
        <f aca="false">(AC50+AE50+AF50)*Assumptions!$E$50</f>
        <v>242.967544602036</v>
      </c>
      <c r="AM50" s="36" t="n">
        <f aca="false">S50*Assumptions!$E$51+M50*Assumptions!$E$52</f>
        <v>335.341548723314</v>
      </c>
      <c r="AN50" s="36" t="n">
        <f aca="false">Assumptions!$E$53+Assumptions!$E$54*(S50+T50+U50)</f>
        <v>657.901313547648</v>
      </c>
      <c r="AO50" s="36" t="n">
        <f aca="false">IF(C50&gt;=2,Assumptions!$E$55,0)</f>
        <v>200</v>
      </c>
      <c r="AP50" s="33" t="n">
        <f aca="false">E50*Assumptions!$E$60/60+F50*Assumptions!$E$61+J50*Assumptions!$E$62+(S50+T50)*Assumptions!$E$63+X50*Assumptions!$E$64+Z50*Assumptions!$E$65+U50*Assumptions!$E$66+Assumptions!$E$67*52/12</f>
        <v>495.299247476595</v>
      </c>
      <c r="AQ50" s="33" t="n">
        <f aca="false">IF(BC49=1,Assumptions!$E$69,Assumptions!$E$68)*52/12</f>
        <v>346.666666666667</v>
      </c>
      <c r="AR50" s="33" t="n">
        <f aca="false">MAX(0,AP50-AQ50)</f>
        <v>148.632580809929</v>
      </c>
      <c r="AS50" s="36" t="n">
        <f aca="false">AR50*Assumptions!$E$70*Assumptions!$E$71</f>
        <v>1426.87277577532</v>
      </c>
      <c r="AT50" s="36" t="n">
        <f aca="false">Assumptions!$E$56/12</f>
        <v>66.6666666666667</v>
      </c>
      <c r="AU50" s="36" t="n">
        <f aca="false">IF(A50=1,Assumptions!$E$57,0)+Assumptions!$E$58</f>
        <v>40</v>
      </c>
      <c r="AV50" s="36" t="n">
        <f aca="false">IF(AND(Y50&gt;0,Y50=A50),Assumptions!$E$46,0)+IF(Y50&gt;0,Assumptions!$E$47,0)</f>
        <v>50</v>
      </c>
      <c r="AW50" s="36" t="n">
        <f aca="false">AK50+AL50+AM50+AN50+AO50+AS50+AT50+AU50+AV50</f>
        <v>4615.68761176275</v>
      </c>
      <c r="AX50" s="36" t="n">
        <f aca="false">AI50-AW50</f>
        <v>45418.8780118142</v>
      </c>
      <c r="AY50" s="36" t="n">
        <f aca="false">MAX(0,AX50)*Assumptions!$E$73</f>
        <v>11354.7195029535</v>
      </c>
      <c r="AZ50" s="36" t="n">
        <f aca="false">AX50-AY50</f>
        <v>34064.1585088606</v>
      </c>
      <c r="BA50" s="36" t="n">
        <f aca="false">BA49+AZ50</f>
        <v>745104.423257336</v>
      </c>
      <c r="BB50" s="31" t="n">
        <f aca="false">IF(AZ50&gt;=Assumptions!$E$74/12,BB49+1,0)</f>
        <v>21</v>
      </c>
      <c r="BC50" s="31" t="n">
        <f aca="false">IF(OR(BC49=1,BB50&gt;=3),1,0)</f>
        <v>1</v>
      </c>
      <c r="BD50" s="31" t="n">
        <f aca="false">IF(AZ50&gt;=Assumptions!$E$75/12,BD49+1,0)</f>
        <v>32</v>
      </c>
      <c r="BE50" s="33" t="n">
        <f aca="false">AP50*12/52</f>
        <v>114.299826340753</v>
      </c>
      <c r="BF50" s="33" t="n">
        <f aca="false">AR50*12/52</f>
        <v>34.2998263407528</v>
      </c>
      <c r="BG50" s="31" t="n">
        <f aca="false">IF(AX50&gt;0,A50,999)</f>
        <v>46</v>
      </c>
      <c r="BH50" s="31" t="n">
        <f aca="false">IF(BB50&gt;=3,A50,999)</f>
        <v>46</v>
      </c>
      <c r="BI50" s="31" t="n">
        <f aca="false">IF(BD50&gt;=3,A50,999)</f>
        <v>46</v>
      </c>
    </row>
    <row r="51" customFormat="false" ht="15" hidden="false" customHeight="false" outlineLevel="0" collapsed="false">
      <c r="A51" s="31" t="n">
        <v>47</v>
      </c>
      <c r="B51" s="32" t="n">
        <f aca="false">DATE(2026,10+A51,1)</f>
        <v>47727</v>
      </c>
      <c r="C51" s="31" t="n">
        <f aca="false">INT((A51-1)/12)+1</f>
        <v>4</v>
      </c>
      <c r="D51" s="31" t="n">
        <f aca="false">IF(C51=1,Assumptions!$E$7,IF(C51=2,Assumptions!$E$8,Assumptions!$E$9))</f>
        <v>30</v>
      </c>
      <c r="E51" s="31" t="n">
        <f aca="false">D51*Assumptions!$E$10</f>
        <v>660</v>
      </c>
      <c r="F51" s="33" t="n">
        <f aca="false">E51*Assumptions!$E$11</f>
        <v>66</v>
      </c>
      <c r="G51" s="34" t="n">
        <f aca="false">MIN(1,Assumptions!$E$13+(1-Assumptions!$E$13)*(A51-1)/Assumptions!$E$14)</f>
        <v>1</v>
      </c>
      <c r="H51" s="33" t="n">
        <f aca="false">F51*Assumptions!$E$12*G51</f>
        <v>9.9</v>
      </c>
      <c r="I51" s="33" t="n">
        <f aca="false">Assumptions!$E$15*(Q50+R50+T50+U50)</f>
        <v>4.03425985160736</v>
      </c>
      <c r="J51" s="33" t="n">
        <f aca="false">H51+I51</f>
        <v>13.9342598516074</v>
      </c>
      <c r="K51" s="33" t="n">
        <f aca="false">J51*Assumptions!$E$18</f>
        <v>0.696712992580368</v>
      </c>
      <c r="L51" s="33" t="n">
        <f aca="false">(J51-K51)*Assumptions!$E$17</f>
        <v>9.26628280131889</v>
      </c>
      <c r="M51" s="33" t="n">
        <f aca="false">J51-K51-L51</f>
        <v>3.9712640577081</v>
      </c>
      <c r="N51" s="33" t="n">
        <f aca="false">L51*Assumptions!$E$19</f>
        <v>0.463314140065945</v>
      </c>
      <c r="O51" s="33" t="n">
        <f aca="false">L51-N51</f>
        <v>8.80296866125295</v>
      </c>
      <c r="P51" s="33" t="n">
        <f aca="false">O39*(1-Assumptions!$E$20)^12</f>
        <v>7.65969993992887</v>
      </c>
      <c r="Q51" s="33" t="n">
        <f aca="false">Q50*(1-Assumptions!$E$20)+O51-P51</f>
        <v>99.3419724528379</v>
      </c>
      <c r="R51" s="33" t="n">
        <f aca="false">R50*(1-Assumptions!$E$22)+P51*(1-Assumptions!$E$21)</f>
        <v>126.045405884261</v>
      </c>
      <c r="S51" s="33" t="n">
        <f aca="false">Q51+R51</f>
        <v>225.387378337098</v>
      </c>
      <c r="T51" s="33" t="n">
        <f aca="false">T50*(1-Assumptions!$E$24)+M51*Assumptions!$E$23</f>
        <v>33.2166656840652</v>
      </c>
      <c r="U51" s="33" t="n">
        <f aca="false">U50*(1-Assumptions!$E$25)+K51</f>
        <v>15.7558751544326</v>
      </c>
      <c r="V51" s="33" t="n">
        <f aca="false">V50+M51</f>
        <v>139.798710200636</v>
      </c>
      <c r="W51" s="33" t="n">
        <f aca="false">N51+Q50*Assumptions!$E$20+P51*Assumptions!$E$21+R50*Assumptions!$E$22+T50*Assumptions!$E$24+U50*Assumptions!$E$25</f>
        <v>6.14223901521039</v>
      </c>
      <c r="X51" s="33" t="n">
        <f aca="false">IF(A51&lt;Assumptions!$E$34,0,Assumptions!$E$36*MIN(1,(A51-Assumptions!$E$34+1)/Assumptions!$E$35))*(S51+T51)</f>
        <v>77.5812132063491</v>
      </c>
      <c r="Y51" s="31" t="n">
        <f aca="false">IF(Y50&gt;0,Y50,IF(AND(A51&gt;=Assumptions!$E$41,Q50+R50+T50&gt;=Assumptions!$E$40),A51,0))</f>
        <v>9</v>
      </c>
      <c r="Z51" s="33" t="n">
        <f aca="false">IF(Y51&gt;0,Assumptions!$E$42*MIN(1,(A51-Y51+1)/Assumptions!$E$43),0)*(S51+T51)</f>
        <v>129.302022010582</v>
      </c>
      <c r="AA51" s="35" t="n">
        <f aca="false">(1+Assumptions!$E$32)^(C51-1)</f>
        <v>1.157625</v>
      </c>
      <c r="AB51" s="36" t="n">
        <f aca="false">O51*Assumptions!$E$27*AA51</f>
        <v>1008.86312305181</v>
      </c>
      <c r="AC51" s="36" t="n">
        <f aca="false">(Q50+R50)*Assumptions!$E$28*AA51</f>
        <v>25316.103620123</v>
      </c>
      <c r="AD51" s="36" t="n">
        <f aca="false">M51*Assumptions!$E$29*AA51</f>
        <v>2294.02004284737</v>
      </c>
      <c r="AE51" s="36" t="n">
        <f aca="false">T50*Assumptions!$E$30*AA51</f>
        <v>2981.92820047108</v>
      </c>
      <c r="AF51" s="36" t="n">
        <f aca="false">U50*Assumptions!$E$31*AA51</f>
        <v>7134.06377071594</v>
      </c>
      <c r="AG51" s="36" t="n">
        <f aca="false">X51*Assumptions!$E$37*Assumptions!$E$38</f>
        <v>7758.12132063491</v>
      </c>
      <c r="AH51" s="36" t="n">
        <f aca="false">Z51*Assumptions!$E$44*Assumptions!$E$45</f>
        <v>4525.57077037037</v>
      </c>
      <c r="AI51" s="36" t="n">
        <f aca="false">SUM(AB51:AH51)</f>
        <v>51018.6708482145</v>
      </c>
      <c r="AJ51" s="36" t="n">
        <f aca="false">(S51*Assumptions!$E$28+T51*Assumptions!$E$30+U51*Assumptions!$E$31)*AA51+AG51+AH51</f>
        <v>48429.4459735793</v>
      </c>
      <c r="AK51" s="36" t="n">
        <f aca="false">(AI51-AH51)*Assumptions!$E$49</f>
        <v>1627.25850272454</v>
      </c>
      <c r="AL51" s="36" t="n">
        <f aca="false">(AC51+AE51+AF51)*Assumptions!$E$50</f>
        <v>248.02466913917</v>
      </c>
      <c r="AM51" s="36" t="n">
        <f aca="false">S51*Assumptions!$E$51+M51*Assumptions!$E$52</f>
        <v>341.303183786995</v>
      </c>
      <c r="AN51" s="36" t="n">
        <f aca="false">Assumptions!$E$53+Assumptions!$E$54*(S51+T51+U51)</f>
        <v>668.719838351193</v>
      </c>
      <c r="AO51" s="36" t="n">
        <f aca="false">IF(C51&gt;=2,Assumptions!$E$55,0)</f>
        <v>200</v>
      </c>
      <c r="AP51" s="33" t="n">
        <f aca="false">E51*Assumptions!$E$60/60+F51*Assumptions!$E$61+J51*Assumptions!$E$62+(S51+T51)*Assumptions!$E$63+X51*Assumptions!$E$64+Z51*Assumptions!$E$65+U51*Assumptions!$E$66+Assumptions!$E$67*52/12</f>
        <v>503.731123877616</v>
      </c>
      <c r="AQ51" s="33" t="n">
        <f aca="false">IF(BC50=1,Assumptions!$E$69,Assumptions!$E$68)*52/12</f>
        <v>346.666666666667</v>
      </c>
      <c r="AR51" s="33" t="n">
        <f aca="false">MAX(0,AP51-AQ51)</f>
        <v>157.064457210949</v>
      </c>
      <c r="AS51" s="36" t="n">
        <f aca="false">AR51*Assumptions!$E$70*Assumptions!$E$71</f>
        <v>1507.81878922511</v>
      </c>
      <c r="AT51" s="36" t="n">
        <f aca="false">Assumptions!$E$56/12</f>
        <v>66.6666666666667</v>
      </c>
      <c r="AU51" s="36" t="n">
        <f aca="false">IF(A51=1,Assumptions!$E$57,0)+Assumptions!$E$58</f>
        <v>40</v>
      </c>
      <c r="AV51" s="36" t="n">
        <f aca="false">IF(AND(Y51&gt;0,Y51=A51),Assumptions!$E$46,0)+IF(Y51&gt;0,Assumptions!$E$47,0)</f>
        <v>50</v>
      </c>
      <c r="AW51" s="36" t="n">
        <f aca="false">AK51+AL51+AM51+AN51+AO51+AS51+AT51+AU51+AV51</f>
        <v>4749.79164989368</v>
      </c>
      <c r="AX51" s="36" t="n">
        <f aca="false">AI51-AW51</f>
        <v>46268.8791983208</v>
      </c>
      <c r="AY51" s="36" t="n">
        <f aca="false">MAX(0,AX51)*Assumptions!$E$73</f>
        <v>11567.2197995802</v>
      </c>
      <c r="AZ51" s="36" t="n">
        <f aca="false">AX51-AY51</f>
        <v>34701.6593987406</v>
      </c>
      <c r="BA51" s="36" t="n">
        <f aca="false">BA50+AZ51</f>
        <v>779806.082656077</v>
      </c>
      <c r="BB51" s="31" t="n">
        <f aca="false">IF(AZ51&gt;=Assumptions!$E$74/12,BB50+1,0)</f>
        <v>22</v>
      </c>
      <c r="BC51" s="31" t="n">
        <f aca="false">IF(OR(BC50=1,BB51&gt;=3),1,0)</f>
        <v>1</v>
      </c>
      <c r="BD51" s="31" t="n">
        <f aca="false">IF(AZ51&gt;=Assumptions!$E$75/12,BD50+1,0)</f>
        <v>33</v>
      </c>
      <c r="BE51" s="33" t="n">
        <f aca="false">AP51*12/52</f>
        <v>116.245643971757</v>
      </c>
      <c r="BF51" s="33" t="n">
        <f aca="false">AR51*12/52</f>
        <v>36.2456439717575</v>
      </c>
      <c r="BG51" s="31" t="n">
        <f aca="false">IF(AX51&gt;0,A51,999)</f>
        <v>47</v>
      </c>
      <c r="BH51" s="31" t="n">
        <f aca="false">IF(BB51&gt;=3,A51,999)</f>
        <v>47</v>
      </c>
      <c r="BI51" s="31" t="n">
        <f aca="false">IF(BD51&gt;=3,A51,999)</f>
        <v>47</v>
      </c>
    </row>
    <row r="52" customFormat="false" ht="15" hidden="false" customHeight="false" outlineLevel="0" collapsed="false">
      <c r="A52" s="37" t="n">
        <v>48</v>
      </c>
      <c r="B52" s="38" t="n">
        <f aca="false">DATE(2026,10+A52,1)</f>
        <v>47757</v>
      </c>
      <c r="C52" s="37" t="n">
        <f aca="false">INT((A52-1)/12)+1</f>
        <v>4</v>
      </c>
      <c r="D52" s="37" t="n">
        <f aca="false">IF(C52=1,Assumptions!$E$7,IF(C52=2,Assumptions!$E$8,Assumptions!$E$9))</f>
        <v>30</v>
      </c>
      <c r="E52" s="37" t="n">
        <f aca="false">D52*Assumptions!$E$10</f>
        <v>660</v>
      </c>
      <c r="F52" s="39" t="n">
        <f aca="false">E52*Assumptions!$E$11</f>
        <v>66</v>
      </c>
      <c r="G52" s="40" t="n">
        <f aca="false">MIN(1,Assumptions!$E$13+(1-Assumptions!$E$13)*(A52-1)/Assumptions!$E$14)</f>
        <v>1</v>
      </c>
      <c r="H52" s="39" t="n">
        <f aca="false">F52*Assumptions!$E$12*G52</f>
        <v>9.9</v>
      </c>
      <c r="I52" s="39" t="n">
        <f aca="false">Assumptions!$E$15*(Q51+R51+T51+U51)</f>
        <v>4.11539878763394</v>
      </c>
      <c r="J52" s="39" t="n">
        <f aca="false">H52+I52</f>
        <v>14.0153987876339</v>
      </c>
      <c r="K52" s="39" t="n">
        <f aca="false">J52*Assumptions!$E$18</f>
        <v>0.700769939381697</v>
      </c>
      <c r="L52" s="39" t="n">
        <f aca="false">(J52-K52)*Assumptions!$E$17</f>
        <v>9.32024019377657</v>
      </c>
      <c r="M52" s="39" t="n">
        <f aca="false">J52-K52-L52</f>
        <v>3.99438865447567</v>
      </c>
      <c r="N52" s="39" t="n">
        <f aca="false">L52*Assumptions!$E$19</f>
        <v>0.466012009688829</v>
      </c>
      <c r="O52" s="39" t="n">
        <f aca="false">L52-N52</f>
        <v>8.85422818408775</v>
      </c>
      <c r="P52" s="39" t="n">
        <f aca="false">O40*(1-Assumptions!$E$20)^12</f>
        <v>7.71619796613069</v>
      </c>
      <c r="Q52" s="39" t="n">
        <f aca="false">Q51*(1-Assumptions!$E$20)+O52-P52</f>
        <v>99.9832928085308</v>
      </c>
      <c r="R52" s="39" t="n">
        <f aca="false">R51*(1-Assumptions!$E$22)+P52*(1-Assumptions!$E$21)</f>
        <v>129.838848906672</v>
      </c>
      <c r="S52" s="39" t="n">
        <f aca="false">Q52+R52</f>
        <v>229.822141715202</v>
      </c>
      <c r="T52" s="39" t="n">
        <f aca="false">T51*(1-Assumptions!$E$24)+M52*Assumptions!$E$23</f>
        <v>33.8179211753335</v>
      </c>
      <c r="U52" s="39" t="n">
        <f aca="false">U51*(1-Assumptions!$E$25)+K52</f>
        <v>16.0627482149534</v>
      </c>
      <c r="V52" s="39" t="n">
        <f aca="false">V51+M52</f>
        <v>143.793098855111</v>
      </c>
      <c r="W52" s="39" t="n">
        <f aca="false">N52+Q51*Assumptions!$E$20+P52*Assumptions!$E$21+R51*Assumptions!$E$22+T51*Assumptions!$E$24+U51*Assumptions!$E$25</f>
        <v>6.27587366505537</v>
      </c>
      <c r="X52" s="39" t="n">
        <f aca="false">IF(A52&lt;Assumptions!$E$34,0,Assumptions!$E$36*MIN(1,(A52-Assumptions!$E$34+1)/Assumptions!$E$35))*(S52+T52)</f>
        <v>79.0920188671608</v>
      </c>
      <c r="Y52" s="37" t="n">
        <f aca="false">IF(Y51&gt;0,Y51,IF(AND(A52&gt;=Assumptions!$E$41,Q51+R51+T51&gt;=Assumptions!$E$40),A52,0))</f>
        <v>9</v>
      </c>
      <c r="Z52" s="39" t="n">
        <f aca="false">IF(Y52&gt;0,Assumptions!$E$42*MIN(1,(A52-Y52+1)/Assumptions!$E$43),0)*(S52+T52)</f>
        <v>131.820031445268</v>
      </c>
      <c r="AA52" s="41" t="n">
        <f aca="false">(1+Assumptions!$E$32)^(C52-1)</f>
        <v>1.157625</v>
      </c>
      <c r="AB52" s="42" t="n">
        <f aca="false">O52*Assumptions!$E$27*AA52</f>
        <v>1014.73771425885</v>
      </c>
      <c r="AC52" s="42" t="n">
        <f aca="false">(Q51+R51)*Assumptions!$E$28*AA52</f>
        <v>25830.4923209009</v>
      </c>
      <c r="AD52" s="42" t="n">
        <f aca="false">M52*Assumptions!$E$29*AA52</f>
        <v>2307.37807890256</v>
      </c>
      <c r="AE52" s="42" t="n">
        <f aca="false">T51*Assumptions!$E$30*AA52</f>
        <v>3037.74296638876</v>
      </c>
      <c r="AF52" s="42" t="n">
        <f aca="false">U51*Assumptions!$E$31*AA52</f>
        <v>7277.51859528435</v>
      </c>
      <c r="AG52" s="42" t="n">
        <f aca="false">X52*Assumptions!$E$37*Assumptions!$E$38</f>
        <v>7909.20188671608</v>
      </c>
      <c r="AH52" s="42" t="n">
        <f aca="false">Z52*Assumptions!$E$44*Assumptions!$E$45</f>
        <v>4613.70110058438</v>
      </c>
      <c r="AI52" s="42" t="n">
        <f aca="false">SUM(AB52:AH52)</f>
        <v>51990.7726630359</v>
      </c>
      <c r="AJ52" s="42" t="n">
        <f aca="false">(S52*Assumptions!$E$28+T52*Assumptions!$E$30+U52*Assumptions!$E$31)*AA52+AG52+AH52</f>
        <v>49373.6309418824</v>
      </c>
      <c r="AK52" s="42" t="n">
        <f aca="false">(AI52-AH52)*Assumptions!$E$49</f>
        <v>1658.1975046858</v>
      </c>
      <c r="AL52" s="42" t="n">
        <f aca="false">(AC52+AE52+AF52)*Assumptions!$E$50</f>
        <v>253.020277178018</v>
      </c>
      <c r="AM52" s="42" t="n">
        <f aca="false">S52*Assumptions!$E$51+M52*Assumptions!$E$52</f>
        <v>347.193506961138</v>
      </c>
      <c r="AN52" s="42" t="n">
        <f aca="false">Assumptions!$E$53+Assumptions!$E$54*(S52+T52+U52)</f>
        <v>679.405622210979</v>
      </c>
      <c r="AO52" s="42" t="n">
        <f aca="false">IF(C52&gt;=2,Assumptions!$E$55,0)</f>
        <v>200</v>
      </c>
      <c r="AP52" s="39" t="n">
        <f aca="false">E52*Assumptions!$E$60/60+F52*Assumptions!$E$61+J52*Assumptions!$E$62+(S52+T52)*Assumptions!$E$63+X52*Assumptions!$E$64+Z52*Assumptions!$E$65+U52*Assumptions!$E$66+Assumptions!$E$67*52/12</f>
        <v>512.059922586178</v>
      </c>
      <c r="AQ52" s="39" t="n">
        <f aca="false">IF(BC51=1,Assumptions!$E$69,Assumptions!$E$68)*52/12</f>
        <v>346.666666666667</v>
      </c>
      <c r="AR52" s="39" t="n">
        <f aca="false">MAX(0,AP52-AQ52)</f>
        <v>165.393255919512</v>
      </c>
      <c r="AS52" s="42" t="n">
        <f aca="false">AR52*Assumptions!$E$70*Assumptions!$E$71</f>
        <v>1587.77525682731</v>
      </c>
      <c r="AT52" s="42" t="n">
        <f aca="false">Assumptions!$E$56/12</f>
        <v>66.6666666666667</v>
      </c>
      <c r="AU52" s="42" t="n">
        <f aca="false">IF(A52=1,Assumptions!$E$57,0)+Assumptions!$E$58</f>
        <v>40</v>
      </c>
      <c r="AV52" s="42" t="n">
        <f aca="false">IF(AND(Y52&gt;0,Y52=A52),Assumptions!$E$46,0)+IF(Y52&gt;0,Assumptions!$E$47,0)</f>
        <v>50</v>
      </c>
      <c r="AW52" s="42" t="n">
        <f aca="false">AK52+AL52+AM52+AN52+AO52+AS52+AT52+AU52+AV52</f>
        <v>4882.25883452992</v>
      </c>
      <c r="AX52" s="42" t="n">
        <f aca="false">AI52-AW52</f>
        <v>47108.513828506</v>
      </c>
      <c r="AY52" s="42" t="n">
        <f aca="false">MAX(0,AX52)*Assumptions!$E$73</f>
        <v>11777.1284571265</v>
      </c>
      <c r="AZ52" s="42" t="n">
        <f aca="false">AX52-AY52</f>
        <v>35331.3853713795</v>
      </c>
      <c r="BA52" s="42" t="n">
        <f aca="false">BA51+AZ52</f>
        <v>815137.468027456</v>
      </c>
      <c r="BB52" s="37" t="n">
        <f aca="false">IF(AZ52&gt;=Assumptions!$E$74/12,BB51+1,0)</f>
        <v>23</v>
      </c>
      <c r="BC52" s="37" t="n">
        <f aca="false">IF(OR(BC51=1,BB52&gt;=3),1,0)</f>
        <v>1</v>
      </c>
      <c r="BD52" s="37" t="n">
        <f aca="false">IF(AZ52&gt;=Assumptions!$E$75/12,BD51+1,0)</f>
        <v>34</v>
      </c>
      <c r="BE52" s="39" t="n">
        <f aca="false">AP52*12/52</f>
        <v>118.167674442964</v>
      </c>
      <c r="BF52" s="39" t="n">
        <f aca="false">AR52*12/52</f>
        <v>38.1676744429642</v>
      </c>
      <c r="BG52" s="37" t="n">
        <f aca="false">IF(AX52&gt;0,A52,999)</f>
        <v>48</v>
      </c>
      <c r="BH52" s="37" t="n">
        <f aca="false">IF(BB52&gt;=3,A52,999)</f>
        <v>48</v>
      </c>
      <c r="BI52" s="37" t="n">
        <f aca="false">IF(BD52&gt;=3,A52,999)</f>
        <v>48</v>
      </c>
    </row>
    <row r="53" customFormat="false" ht="15" hidden="false" customHeight="false" outlineLevel="0" collapsed="false">
      <c r="A53" s="31" t="n">
        <v>49</v>
      </c>
      <c r="B53" s="32" t="n">
        <f aca="false">DATE(2026,10+A53,1)</f>
        <v>47788</v>
      </c>
      <c r="C53" s="31" t="n">
        <f aca="false">INT((A53-1)/12)+1</f>
        <v>5</v>
      </c>
      <c r="D53" s="31" t="n">
        <f aca="false">IF(C53=1,Assumptions!$E$7,IF(C53=2,Assumptions!$E$8,Assumptions!$E$9))</f>
        <v>30</v>
      </c>
      <c r="E53" s="31" t="n">
        <f aca="false">D53*Assumptions!$E$10</f>
        <v>660</v>
      </c>
      <c r="F53" s="33" t="n">
        <f aca="false">E53*Assumptions!$E$11</f>
        <v>66</v>
      </c>
      <c r="G53" s="34" t="n">
        <f aca="false">MIN(1,Assumptions!$E$13+(1-Assumptions!$E$13)*(A53-1)/Assumptions!$E$14)</f>
        <v>1</v>
      </c>
      <c r="H53" s="33" t="n">
        <f aca="false">F53*Assumptions!$E$12*G53</f>
        <v>9.9</v>
      </c>
      <c r="I53" s="33" t="n">
        <f aca="false">Assumptions!$E$15*(Q52+R52+T52+U52)</f>
        <v>4.19554216658234</v>
      </c>
      <c r="J53" s="33" t="n">
        <f aca="false">H53+I53</f>
        <v>14.0955421665823</v>
      </c>
      <c r="K53" s="33" t="n">
        <f aca="false">J53*Assumptions!$E$18</f>
        <v>0.704777108329117</v>
      </c>
      <c r="L53" s="33" t="n">
        <f aca="false">(J53-K53)*Assumptions!$E$17</f>
        <v>9.37353554077726</v>
      </c>
      <c r="M53" s="33" t="n">
        <f aca="false">J53-K53-L53</f>
        <v>4.01722951747597</v>
      </c>
      <c r="N53" s="33" t="n">
        <f aca="false">L53*Assumptions!$E$19</f>
        <v>0.468676777038863</v>
      </c>
      <c r="O53" s="33" t="n">
        <f aca="false">L53-N53</f>
        <v>8.90485876373839</v>
      </c>
      <c r="P53" s="33" t="n">
        <f aca="false">O41*(1-Assumptions!$E$20)^12</f>
        <v>7.77218451160321</v>
      </c>
      <c r="Q53" s="33" t="n">
        <f aca="false">Q52*(1-Assumptions!$E$20)+O53-P53</f>
        <v>100.616050596623</v>
      </c>
      <c r="R53" s="33" t="n">
        <f aca="false">R52*(1-Assumptions!$E$22)+P53*(1-Assumptions!$E$21)</f>
        <v>133.587843744448</v>
      </c>
      <c r="S53" s="33" t="n">
        <f aca="false">Q53+R53</f>
        <v>234.203894341071</v>
      </c>
      <c r="T53" s="33" t="n">
        <f aca="false">T52*(1-Assumptions!$E$24)+M53*Assumptions!$E$23</f>
        <v>34.4102753470639</v>
      </c>
      <c r="U53" s="33" t="n">
        <f aca="false">U52*(1-Assumptions!$E$25)+K53</f>
        <v>16.3659566179087</v>
      </c>
      <c r="V53" s="33" t="n">
        <f aca="false">V52+M53</f>
        <v>147.810328372587</v>
      </c>
      <c r="W53" s="33" t="n">
        <f aca="false">N53+Q52*Assumptions!$E$20+P53*Assumptions!$E$21+R52*Assumptions!$E$22+T52*Assumptions!$E$24+U52*Assumptions!$E$25</f>
        <v>6.40788925554247</v>
      </c>
      <c r="X53" s="33" t="n">
        <f aca="false">IF(A53&lt;Assumptions!$E$34,0,Assumptions!$E$36*MIN(1,(A53-Assumptions!$E$34+1)/Assumptions!$E$35))*(S53+T53)</f>
        <v>80.5842509064405</v>
      </c>
      <c r="Y53" s="31" t="n">
        <f aca="false">IF(Y52&gt;0,Y52,IF(AND(A53&gt;=Assumptions!$E$41,Q52+R52+T52&gt;=Assumptions!$E$40),A53,0))</f>
        <v>9</v>
      </c>
      <c r="Z53" s="33" t="n">
        <f aca="false">IF(Y53&gt;0,Assumptions!$E$42*MIN(1,(A53-Y53+1)/Assumptions!$E$43),0)*(S53+T53)</f>
        <v>134.307084844067</v>
      </c>
      <c r="AA53" s="35" t="n">
        <f aca="false">(1+Assumptions!$E$32)^(C53-1)</f>
        <v>1.21550625</v>
      </c>
      <c r="AB53" s="36" t="n">
        <f aca="false">O53*Assumptions!$E$27*AA53</f>
        <v>1071.56723678644</v>
      </c>
      <c r="AC53" s="36" t="n">
        <f aca="false">(Q52+R52)*Assumptions!$E$28*AA53</f>
        <v>27655.6747146782</v>
      </c>
      <c r="AD53" s="36" t="n">
        <f aca="false">M53*Assumptions!$E$29*AA53</f>
        <v>2436.60082550209</v>
      </c>
      <c r="AE53" s="36" t="n">
        <f aca="false">T52*Assumptions!$E$30*AA53</f>
        <v>3247.36566949939</v>
      </c>
      <c r="AF53" s="36" t="n">
        <f aca="false">U52*Assumptions!$E$31*AA53</f>
        <v>7790.22396813345</v>
      </c>
      <c r="AG53" s="36" t="n">
        <f aca="false">X53*Assumptions!$E$37*Assumptions!$E$38</f>
        <v>8058.42509064405</v>
      </c>
      <c r="AH53" s="36" t="n">
        <f aca="false">Z53*Assumptions!$E$44*Assumptions!$E$45</f>
        <v>4700.74796954236</v>
      </c>
      <c r="AI53" s="36" t="n">
        <f aca="false">SUM(AB53:AH53)</f>
        <v>54960.605474786</v>
      </c>
      <c r="AJ53" s="36" t="n">
        <f aca="false">(S53*Assumptions!$E$28+T53*Assumptions!$E$30+U53*Assumptions!$E$31)*AA53+AG53+AH53</f>
        <v>52183.6490725317</v>
      </c>
      <c r="AK53" s="36" t="n">
        <f aca="false">(AI53-AH53)*Assumptions!$E$49</f>
        <v>1759.09501268353</v>
      </c>
      <c r="AL53" s="36" t="n">
        <f aca="false">(AC53+AE53+AF53)*Assumptions!$E$50</f>
        <v>270.852850466177</v>
      </c>
      <c r="AM53" s="36" t="n">
        <f aca="false">S53*Assumptions!$E$51+M53*Assumptions!$E$52</f>
        <v>353.013310688478</v>
      </c>
      <c r="AN53" s="36" t="n">
        <f aca="false">Assumptions!$E$53+Assumptions!$E$54*(S53+T53+U53)</f>
        <v>689.960252612087</v>
      </c>
      <c r="AO53" s="36" t="n">
        <f aca="false">IF(C53&gt;=2,Assumptions!$E$55,0)</f>
        <v>200</v>
      </c>
      <c r="AP53" s="33" t="n">
        <f aca="false">E53*Assumptions!$E$60/60+F53*Assumptions!$E$61+J53*Assumptions!$E$62+(S53+T53)*Assumptions!$E$63+X53*Assumptions!$E$64+Z53*Assumptions!$E$65+U53*Assumptions!$E$66+Assumptions!$E$67*52/12</f>
        <v>520.286871176196</v>
      </c>
      <c r="AQ53" s="33" t="n">
        <f aca="false">IF(BC52=1,Assumptions!$E$69,Assumptions!$E$68)*52/12</f>
        <v>346.666666666667</v>
      </c>
      <c r="AR53" s="33" t="n">
        <f aca="false">MAX(0,AP53-AQ53)</f>
        <v>173.620204509529</v>
      </c>
      <c r="AS53" s="36" t="n">
        <f aca="false">AR53*Assumptions!$E$70*Assumptions!$E$71</f>
        <v>1666.75396329148</v>
      </c>
      <c r="AT53" s="36" t="n">
        <f aca="false">Assumptions!$E$56/12</f>
        <v>66.6666666666667</v>
      </c>
      <c r="AU53" s="36" t="n">
        <f aca="false">IF(A53=1,Assumptions!$E$57,0)+Assumptions!$E$58</f>
        <v>40</v>
      </c>
      <c r="AV53" s="36" t="n">
        <f aca="false">IF(AND(Y53&gt;0,Y53=A53),Assumptions!$E$46,0)+IF(Y53&gt;0,Assumptions!$E$47,0)</f>
        <v>50</v>
      </c>
      <c r="AW53" s="36" t="n">
        <f aca="false">AK53+AL53+AM53+AN53+AO53+AS53+AT53+AU53+AV53</f>
        <v>5096.34205640842</v>
      </c>
      <c r="AX53" s="36" t="n">
        <f aca="false">AI53-AW53</f>
        <v>49864.2634183776</v>
      </c>
      <c r="AY53" s="36" t="n">
        <f aca="false">MAX(0,AX53)*Assumptions!$E$73</f>
        <v>12466.0658545944</v>
      </c>
      <c r="AZ53" s="36" t="n">
        <f aca="false">AX53-AY53</f>
        <v>37398.1975637832</v>
      </c>
      <c r="BA53" s="36" t="n">
        <f aca="false">BA52+AZ53</f>
        <v>852535.665591239</v>
      </c>
      <c r="BB53" s="31" t="n">
        <f aca="false">IF(AZ53&gt;=Assumptions!$E$74/12,BB52+1,0)</f>
        <v>24</v>
      </c>
      <c r="BC53" s="31" t="n">
        <f aca="false">IF(OR(BC52=1,BB53&gt;=3),1,0)</f>
        <v>1</v>
      </c>
      <c r="BD53" s="31" t="n">
        <f aca="false">IF(AZ53&gt;=Assumptions!$E$75/12,BD52+1,0)</f>
        <v>35</v>
      </c>
      <c r="BE53" s="33" t="n">
        <f aca="false">AP53*12/52</f>
        <v>120.066201040661</v>
      </c>
      <c r="BF53" s="33" t="n">
        <f aca="false">AR53*12/52</f>
        <v>40.0662010406606</v>
      </c>
      <c r="BG53" s="31" t="n">
        <f aca="false">IF(AX53&gt;0,A53,999)</f>
        <v>49</v>
      </c>
      <c r="BH53" s="31" t="n">
        <f aca="false">IF(BB53&gt;=3,A53,999)</f>
        <v>49</v>
      </c>
      <c r="BI53" s="31" t="n">
        <f aca="false">IF(BD53&gt;=3,A53,999)</f>
        <v>49</v>
      </c>
    </row>
    <row r="54" customFormat="false" ht="15" hidden="false" customHeight="false" outlineLevel="0" collapsed="false">
      <c r="A54" s="31" t="n">
        <v>50</v>
      </c>
      <c r="B54" s="32" t="n">
        <f aca="false">DATE(2026,10+A54,1)</f>
        <v>47818</v>
      </c>
      <c r="C54" s="31" t="n">
        <f aca="false">INT((A54-1)/12)+1</f>
        <v>5</v>
      </c>
      <c r="D54" s="31" t="n">
        <f aca="false">IF(C54=1,Assumptions!$E$7,IF(C54=2,Assumptions!$E$8,Assumptions!$E$9))</f>
        <v>30</v>
      </c>
      <c r="E54" s="31" t="n">
        <f aca="false">D54*Assumptions!$E$10</f>
        <v>660</v>
      </c>
      <c r="F54" s="33" t="n">
        <f aca="false">E54*Assumptions!$E$11</f>
        <v>66</v>
      </c>
      <c r="G54" s="34" t="n">
        <f aca="false">MIN(1,Assumptions!$E$13+(1-Assumptions!$E$13)*(A54-1)/Assumptions!$E$14)</f>
        <v>1</v>
      </c>
      <c r="H54" s="33" t="n">
        <f aca="false">F54*Assumptions!$E$12*G54</f>
        <v>9.9</v>
      </c>
      <c r="I54" s="33" t="n">
        <f aca="false">Assumptions!$E$15*(Q53+R53+T53+U53)</f>
        <v>4.27470189459066</v>
      </c>
      <c r="J54" s="33" t="n">
        <f aca="false">H54+I54</f>
        <v>14.1747018945907</v>
      </c>
      <c r="K54" s="33" t="n">
        <f aca="false">J54*Assumptions!$E$18</f>
        <v>0.708735094729533</v>
      </c>
      <c r="L54" s="33" t="n">
        <f aca="false">(J54-K54)*Assumptions!$E$17</f>
        <v>9.42617675990278</v>
      </c>
      <c r="M54" s="33" t="n">
        <f aca="false">J54-K54-L54</f>
        <v>4.03979003995834</v>
      </c>
      <c r="N54" s="33" t="n">
        <f aca="false">L54*Assumptions!$E$19</f>
        <v>0.471308837995139</v>
      </c>
      <c r="O54" s="33" t="n">
        <f aca="false">L54-N54</f>
        <v>8.95486792190765</v>
      </c>
      <c r="P54" s="33" t="n">
        <f aca="false">O42*(1-Assumptions!$E$20)^12</f>
        <v>7.82679121152005</v>
      </c>
      <c r="Q54" s="33" t="n">
        <f aca="false">Q53*(1-Assumptions!$E$20)+O54-P54</f>
        <v>101.241047054028</v>
      </c>
      <c r="R54" s="33" t="n">
        <f aca="false">R53*(1-Assumptions!$E$22)+P54*(1-Assumptions!$E$21)</f>
        <v>137.292259741205</v>
      </c>
      <c r="S54" s="33" t="n">
        <f aca="false">Q54+R54</f>
        <v>238.533306795232</v>
      </c>
      <c r="T54" s="33" t="n">
        <f aca="false">T53*(1-Assumptions!$E$24)+M54*Assumptions!$E$23</f>
        <v>34.9938831026353</v>
      </c>
      <c r="U54" s="33" t="n">
        <f aca="false">U53*(1-Assumptions!$E$25)+K54</f>
        <v>16.6655427971905</v>
      </c>
      <c r="V54" s="33" t="n">
        <f aca="false">V53+M54</f>
        <v>151.850118412546</v>
      </c>
      <c r="W54" s="33" t="n">
        <f aca="false">N54+Q53*Assumptions!$E$20+P54*Assumptions!$E$21+R53*Assumptions!$E$22+T53*Assumptions!$E$24+U53*Assumptions!$E$25</f>
        <v>6.53822148160109</v>
      </c>
      <c r="X54" s="33" t="n">
        <f aca="false">IF(A54&lt;Assumptions!$E$34,0,Assumptions!$E$36*MIN(1,(A54-Assumptions!$E$34+1)/Assumptions!$E$35))*(S54+T54)</f>
        <v>82.0581569693603</v>
      </c>
      <c r="Y54" s="31" t="n">
        <f aca="false">IF(Y53&gt;0,Y53,IF(AND(A54&gt;=Assumptions!$E$41,Q53+R53+T53&gt;=Assumptions!$E$40),A54,0))</f>
        <v>9</v>
      </c>
      <c r="Z54" s="33" t="n">
        <f aca="false">IF(Y54&gt;0,Assumptions!$E$42*MIN(1,(A54-Y54+1)/Assumptions!$E$43),0)*(S54+T54)</f>
        <v>136.763594948934</v>
      </c>
      <c r="AA54" s="35" t="n">
        <f aca="false">(1+Assumptions!$E$32)^(C54-1)</f>
        <v>1.21550625</v>
      </c>
      <c r="AB54" s="36" t="n">
        <f aca="false">O54*Assumptions!$E$27*AA54</f>
        <v>1077.58509477332</v>
      </c>
      <c r="AC54" s="36" t="n">
        <f aca="false">(Q53+R53)*Assumptions!$E$28*AA54</f>
        <v>28182.9534372452</v>
      </c>
      <c r="AD54" s="36" t="n">
        <f aca="false">M54*Assumptions!$E$29*AA54</f>
        <v>2450.2846310863</v>
      </c>
      <c r="AE54" s="36" t="n">
        <f aca="false">T53*Assumptions!$E$30*AA54</f>
        <v>3304.24647513759</v>
      </c>
      <c r="AF54" s="36" t="n">
        <f aca="false">U53*Assumptions!$E$31*AA54</f>
        <v>7937.27609996247</v>
      </c>
      <c r="AG54" s="36" t="n">
        <f aca="false">X54*Assumptions!$E$37*Assumptions!$E$38</f>
        <v>8205.81569693603</v>
      </c>
      <c r="AH54" s="36" t="n">
        <f aca="false">Z54*Assumptions!$E$44*Assumptions!$E$45</f>
        <v>4786.72582321268</v>
      </c>
      <c r="AI54" s="36" t="n">
        <f aca="false">SUM(AB54:AH54)</f>
        <v>55944.8872583536</v>
      </c>
      <c r="AJ54" s="36" t="n">
        <f aca="false">(S54*Assumptions!$E$28+T54*Assumptions!$E$30+U54*Assumptions!$E$31)*AA54+AG54+AH54</f>
        <v>53139.3342258234</v>
      </c>
      <c r="AK54" s="36" t="n">
        <f aca="false">(AI54-AH54)*Assumptions!$E$49</f>
        <v>1790.53565022993</v>
      </c>
      <c r="AL54" s="36" t="n">
        <f aca="false">(AC54+AE54+AF54)*Assumptions!$E$50</f>
        <v>275.971332086417</v>
      </c>
      <c r="AM54" s="36" t="n">
        <f aca="false">S54*Assumptions!$E$51+M54*Assumptions!$E$52</f>
        <v>358.763484093416</v>
      </c>
      <c r="AN54" s="36" t="n">
        <f aca="false">Assumptions!$E$53+Assumptions!$E$54*(S54+T54+U54)</f>
        <v>700.385465390117</v>
      </c>
      <c r="AO54" s="36" t="n">
        <f aca="false">IF(C54&gt;=2,Assumptions!$E$55,0)</f>
        <v>200</v>
      </c>
      <c r="AP54" s="33" t="n">
        <f aca="false">E54*Assumptions!$E$60/60+F54*Assumptions!$E$61+J54*Assumptions!$E$62+(S54+T54)*Assumptions!$E$63+X54*Assumptions!$E$64+Z54*Assumptions!$E$65+U54*Assumptions!$E$66+Assumptions!$E$67*52/12</f>
        <v>528.413293442513</v>
      </c>
      <c r="AQ54" s="33" t="n">
        <f aca="false">IF(BC53=1,Assumptions!$E$69,Assumptions!$E$68)*52/12</f>
        <v>346.666666666667</v>
      </c>
      <c r="AR54" s="33" t="n">
        <f aca="false">MAX(0,AP54-AQ54)</f>
        <v>181.746626775847</v>
      </c>
      <c r="AS54" s="36" t="n">
        <f aca="false">AR54*Assumptions!$E$70*Assumptions!$E$71</f>
        <v>1744.76761704813</v>
      </c>
      <c r="AT54" s="36" t="n">
        <f aca="false">Assumptions!$E$56/12</f>
        <v>66.6666666666667</v>
      </c>
      <c r="AU54" s="36" t="n">
        <f aca="false">IF(A54=1,Assumptions!$E$57,0)+Assumptions!$E$58</f>
        <v>40</v>
      </c>
      <c r="AV54" s="36" t="n">
        <f aca="false">IF(AND(Y54&gt;0,Y54=A54),Assumptions!$E$46,0)+IF(Y54&gt;0,Assumptions!$E$47,0)</f>
        <v>50</v>
      </c>
      <c r="AW54" s="36" t="n">
        <f aca="false">AK54+AL54+AM54+AN54+AO54+AS54+AT54+AU54+AV54</f>
        <v>5227.09021551468</v>
      </c>
      <c r="AX54" s="36" t="n">
        <f aca="false">AI54-AW54</f>
        <v>50717.797042839</v>
      </c>
      <c r="AY54" s="36" t="n">
        <f aca="false">MAX(0,AX54)*Assumptions!$E$73</f>
        <v>12679.4492607097</v>
      </c>
      <c r="AZ54" s="36" t="n">
        <f aca="false">AX54-AY54</f>
        <v>38038.3477821292</v>
      </c>
      <c r="BA54" s="36" t="n">
        <f aca="false">BA53+AZ54</f>
        <v>890574.013373368</v>
      </c>
      <c r="BB54" s="31" t="n">
        <f aca="false">IF(AZ54&gt;=Assumptions!$E$74/12,BB53+1,0)</f>
        <v>25</v>
      </c>
      <c r="BC54" s="31" t="n">
        <f aca="false">IF(OR(BC53=1,BB54&gt;=3),1,0)</f>
        <v>1</v>
      </c>
      <c r="BD54" s="31" t="n">
        <f aca="false">IF(AZ54&gt;=Assumptions!$E$75/12,BD53+1,0)</f>
        <v>36</v>
      </c>
      <c r="BE54" s="33" t="n">
        <f aca="false">AP54*12/52</f>
        <v>121.941529255965</v>
      </c>
      <c r="BF54" s="33" t="n">
        <f aca="false">AR54*12/52</f>
        <v>41.9415292559646</v>
      </c>
      <c r="BG54" s="31" t="n">
        <f aca="false">IF(AX54&gt;0,A54,999)</f>
        <v>50</v>
      </c>
      <c r="BH54" s="31" t="n">
        <f aca="false">IF(BB54&gt;=3,A54,999)</f>
        <v>50</v>
      </c>
      <c r="BI54" s="31" t="n">
        <f aca="false">IF(BD54&gt;=3,A54,999)</f>
        <v>50</v>
      </c>
    </row>
    <row r="55" customFormat="false" ht="15" hidden="false" customHeight="false" outlineLevel="0" collapsed="false">
      <c r="A55" s="31" t="n">
        <v>51</v>
      </c>
      <c r="B55" s="32" t="n">
        <f aca="false">DATE(2026,10+A55,1)</f>
        <v>47849</v>
      </c>
      <c r="C55" s="31" t="n">
        <f aca="false">INT((A55-1)/12)+1</f>
        <v>5</v>
      </c>
      <c r="D55" s="31" t="n">
        <f aca="false">IF(C55=1,Assumptions!$E$7,IF(C55=2,Assumptions!$E$8,Assumptions!$E$9))</f>
        <v>30</v>
      </c>
      <c r="E55" s="31" t="n">
        <f aca="false">D55*Assumptions!$E$10</f>
        <v>660</v>
      </c>
      <c r="F55" s="33" t="n">
        <f aca="false">E55*Assumptions!$E$11</f>
        <v>66</v>
      </c>
      <c r="G55" s="34" t="n">
        <f aca="false">MIN(1,Assumptions!$E$13+(1-Assumptions!$E$13)*(A55-1)/Assumptions!$E$14)</f>
        <v>1</v>
      </c>
      <c r="H55" s="33" t="n">
        <f aca="false">F55*Assumptions!$E$12*G55</f>
        <v>9.9</v>
      </c>
      <c r="I55" s="33" t="n">
        <f aca="false">Assumptions!$E$15*(Q54+R54+T54+U54)</f>
        <v>4.35289099042587</v>
      </c>
      <c r="J55" s="33" t="n">
        <f aca="false">H55+I55</f>
        <v>14.2528909904259</v>
      </c>
      <c r="K55" s="33" t="n">
        <f aca="false">J55*Assumptions!$E$18</f>
        <v>0.712644549521294</v>
      </c>
      <c r="L55" s="33" t="n">
        <f aca="false">(J55-K55)*Assumptions!$E$17</f>
        <v>9.47817250863321</v>
      </c>
      <c r="M55" s="33" t="n">
        <f aca="false">J55-K55-L55</f>
        <v>4.06207393227138</v>
      </c>
      <c r="N55" s="33" t="n">
        <f aca="false">L55*Assumptions!$E$19</f>
        <v>0.47390862543166</v>
      </c>
      <c r="O55" s="33" t="n">
        <f aca="false">L55-N55</f>
        <v>9.00426388320155</v>
      </c>
      <c r="P55" s="33" t="n">
        <f aca="false">O43*(1-Assumptions!$E$20)^12</f>
        <v>7.88072783532871</v>
      </c>
      <c r="Q55" s="33" t="n">
        <f aca="false">Q54*(1-Assumptions!$E$20)+O55-P55</f>
        <v>101.858377866631</v>
      </c>
      <c r="R55" s="33" t="n">
        <f aca="false">R54*(1-Assumptions!$E$22)+P55*(1-Assumptions!$E$21)</f>
        <v>140.95260829947</v>
      </c>
      <c r="S55" s="33" t="n">
        <f aca="false">Q55+R55</f>
        <v>242.810986166101</v>
      </c>
      <c r="T55" s="33" t="n">
        <f aca="false">T54*(1-Assumptions!$E$24)+M55*Assumptions!$E$23</f>
        <v>35.5688961824648</v>
      </c>
      <c r="U55" s="33" t="n">
        <f aca="false">U54*(1-Assumptions!$E$25)+K55</f>
        <v>16.9615487767821</v>
      </c>
      <c r="V55" s="33" t="n">
        <f aca="false">V54+M55</f>
        <v>155.912192344817</v>
      </c>
      <c r="W55" s="33" t="n">
        <f aca="false">N55+Q54*Assumptions!$E$20+P55*Assumptions!$E$21+R54*Assumptions!$E$22+T54*Assumptions!$E$24+U54*Assumptions!$E$25</f>
        <v>6.66694820077361</v>
      </c>
      <c r="X55" s="33" t="n">
        <f aca="false">IF(A55&lt;Assumptions!$E$34,0,Assumptions!$E$36*MIN(1,(A55-Assumptions!$E$34+1)/Assumptions!$E$35))*(S55+T55)</f>
        <v>83.5139647045697</v>
      </c>
      <c r="Y55" s="31" t="n">
        <f aca="false">IF(Y54&gt;0,Y54,IF(AND(A55&gt;=Assumptions!$E$41,Q54+R54+T54&gt;=Assumptions!$E$40),A55,0))</f>
        <v>9</v>
      </c>
      <c r="Z55" s="33" t="n">
        <f aca="false">IF(Y55&gt;0,Assumptions!$E$42*MIN(1,(A55-Y55+1)/Assumptions!$E$43),0)*(S55+T55)</f>
        <v>139.189941174283</v>
      </c>
      <c r="AA55" s="35" t="n">
        <f aca="false">(1+Assumptions!$E$32)^(C55-1)</f>
        <v>1.21550625</v>
      </c>
      <c r="AB55" s="36" t="n">
        <f aca="false">O55*Assumptions!$E$27*AA55</f>
        <v>1083.52916364139</v>
      </c>
      <c r="AC55" s="36" t="n">
        <f aca="false">(Q54+R54)*Assumptions!$E$28*AA55</f>
        <v>28703.9337990345</v>
      </c>
      <c r="AD55" s="36" t="n">
        <f aca="false">M55*Assumptions!$E$29*AA55</f>
        <v>2463.80065006633</v>
      </c>
      <c r="AE55" s="36" t="n">
        <f aca="false">T54*Assumptions!$E$30*AA55</f>
        <v>3360.28740621879</v>
      </c>
      <c r="AF55" s="36" t="n">
        <f aca="false">U54*Assumptions!$E$31*AA55</f>
        <v>8082.57150042141</v>
      </c>
      <c r="AG55" s="36" t="n">
        <f aca="false">X55*Assumptions!$E$37*Assumptions!$E$38</f>
        <v>8351.39647045697</v>
      </c>
      <c r="AH55" s="36" t="n">
        <f aca="false">Z55*Assumptions!$E$44*Assumptions!$E$45</f>
        <v>4871.6479410999</v>
      </c>
      <c r="AI55" s="36" t="n">
        <f aca="false">SUM(AB55:AH55)</f>
        <v>56917.1669309393</v>
      </c>
      <c r="AJ55" s="36" t="n">
        <f aca="false">(S55*Assumptions!$E$28+T55*Assumptions!$E$30+U55*Assumptions!$E$31)*AA55+AG55+AH55</f>
        <v>54083.3668498703</v>
      </c>
      <c r="AK55" s="36" t="n">
        <f aca="false">(AI55-AH55)*Assumptions!$E$49</f>
        <v>1821.59316464438</v>
      </c>
      <c r="AL55" s="36" t="n">
        <f aca="false">(AC55+AE55+AF55)*Assumptions!$E$50</f>
        <v>281.027548939723</v>
      </c>
      <c r="AM55" s="36" t="n">
        <f aca="false">S55*Assumptions!$E$51+M55*Assumptions!$E$52</f>
        <v>364.444841691697</v>
      </c>
      <c r="AN55" s="36" t="n">
        <f aca="false">Assumptions!$E$53+Assumptions!$E$54*(S55+T55+U55)</f>
        <v>710.682862250695</v>
      </c>
      <c r="AO55" s="36" t="n">
        <f aca="false">IF(C55&gt;=2,Assumptions!$E$55,0)</f>
        <v>200</v>
      </c>
      <c r="AP55" s="33" t="n">
        <f aca="false">E55*Assumptions!$E$60/60+F55*Assumptions!$E$61+J55*Assumptions!$E$62+(S55+T55)*Assumptions!$E$63+X55*Assumptions!$E$64+Z55*Assumptions!$E$65+U55*Assumptions!$E$66+Assumptions!$E$67*52/12</f>
        <v>536.440424481399</v>
      </c>
      <c r="AQ55" s="33" t="n">
        <f aca="false">IF(BC54=1,Assumptions!$E$69,Assumptions!$E$68)*52/12</f>
        <v>346.666666666667</v>
      </c>
      <c r="AR55" s="33" t="n">
        <f aca="false">MAX(0,AP55-AQ55)</f>
        <v>189.773757814732</v>
      </c>
      <c r="AS55" s="36" t="n">
        <f aca="false">AR55*Assumptions!$E$70*Assumptions!$E$71</f>
        <v>1821.82807502143</v>
      </c>
      <c r="AT55" s="36" t="n">
        <f aca="false">Assumptions!$E$56/12</f>
        <v>66.6666666666667</v>
      </c>
      <c r="AU55" s="36" t="n">
        <f aca="false">IF(A55=1,Assumptions!$E$57,0)+Assumptions!$E$58</f>
        <v>40</v>
      </c>
      <c r="AV55" s="36" t="n">
        <f aca="false">IF(AND(Y55&gt;0,Y55=A55),Assumptions!$E$46,0)+IF(Y55&gt;0,Assumptions!$E$47,0)</f>
        <v>50</v>
      </c>
      <c r="AW55" s="36" t="n">
        <f aca="false">AK55+AL55+AM55+AN55+AO55+AS55+AT55+AU55+AV55</f>
        <v>5356.24315921459</v>
      </c>
      <c r="AX55" s="36" t="n">
        <f aca="false">AI55-AW55</f>
        <v>51560.9237717247</v>
      </c>
      <c r="AY55" s="36" t="n">
        <f aca="false">MAX(0,AX55)*Assumptions!$E$73</f>
        <v>12890.2309429312</v>
      </c>
      <c r="AZ55" s="36" t="n">
        <f aca="false">AX55-AY55</f>
        <v>38670.6928287935</v>
      </c>
      <c r="BA55" s="36" t="n">
        <f aca="false">BA54+AZ55</f>
        <v>929244.706202162</v>
      </c>
      <c r="BB55" s="31" t="n">
        <f aca="false">IF(AZ55&gt;=Assumptions!$E$74/12,BB54+1,0)</f>
        <v>26</v>
      </c>
      <c r="BC55" s="31" t="n">
        <f aca="false">IF(OR(BC54=1,BB55&gt;=3),1,0)</f>
        <v>1</v>
      </c>
      <c r="BD55" s="31" t="n">
        <f aca="false">IF(AZ55&gt;=Assumptions!$E$75/12,BD54+1,0)</f>
        <v>37</v>
      </c>
      <c r="BE55" s="33" t="n">
        <f aca="false">AP55*12/52</f>
        <v>123.793944111092</v>
      </c>
      <c r="BF55" s="33" t="n">
        <f aca="false">AR55*12/52</f>
        <v>43.793944111092</v>
      </c>
      <c r="BG55" s="31" t="n">
        <f aca="false">IF(AX55&gt;0,A55,999)</f>
        <v>51</v>
      </c>
      <c r="BH55" s="31" t="n">
        <f aca="false">IF(BB55&gt;=3,A55,999)</f>
        <v>51</v>
      </c>
      <c r="BI55" s="31" t="n">
        <f aca="false">IF(BD55&gt;=3,A55,999)</f>
        <v>51</v>
      </c>
    </row>
    <row r="56" customFormat="false" ht="15" hidden="false" customHeight="false" outlineLevel="0" collapsed="false">
      <c r="A56" s="31" t="n">
        <v>52</v>
      </c>
      <c r="B56" s="32" t="n">
        <f aca="false">DATE(2026,10+A56,1)</f>
        <v>47880</v>
      </c>
      <c r="C56" s="31" t="n">
        <f aca="false">INT((A56-1)/12)+1</f>
        <v>5</v>
      </c>
      <c r="D56" s="31" t="n">
        <f aca="false">IF(C56=1,Assumptions!$E$7,IF(C56=2,Assumptions!$E$8,Assumptions!$E$9))</f>
        <v>30</v>
      </c>
      <c r="E56" s="31" t="n">
        <f aca="false">D56*Assumptions!$E$10</f>
        <v>660</v>
      </c>
      <c r="F56" s="33" t="n">
        <f aca="false">E56*Assumptions!$E$11</f>
        <v>66</v>
      </c>
      <c r="G56" s="34" t="n">
        <f aca="false">MIN(1,Assumptions!$E$13+(1-Assumptions!$E$13)*(A56-1)/Assumptions!$E$14)</f>
        <v>1</v>
      </c>
      <c r="H56" s="33" t="n">
        <f aca="false">F56*Assumptions!$E$12*G56</f>
        <v>9.9</v>
      </c>
      <c r="I56" s="33" t="n">
        <f aca="false">Assumptions!$E$15*(Q55+R55+T55+U55)</f>
        <v>4.43012146688022</v>
      </c>
      <c r="J56" s="33" t="n">
        <f aca="false">H56+I56</f>
        <v>14.3301214668802</v>
      </c>
      <c r="K56" s="33" t="n">
        <f aca="false">J56*Assumptions!$E$18</f>
        <v>0.716506073344011</v>
      </c>
      <c r="L56" s="33" t="n">
        <f aca="false">(J56-K56)*Assumptions!$E$17</f>
        <v>9.52953077547534</v>
      </c>
      <c r="M56" s="33" t="n">
        <f aca="false">J56-K56-L56</f>
        <v>4.08408461806086</v>
      </c>
      <c r="N56" s="33" t="n">
        <f aca="false">L56*Assumptions!$E$19</f>
        <v>0.476476538773767</v>
      </c>
      <c r="O56" s="33" t="n">
        <f aca="false">L56-N56</f>
        <v>9.05305423670158</v>
      </c>
      <c r="P56" s="33" t="n">
        <f aca="false">O44*(1-Assumptions!$E$20)^12</f>
        <v>7.9340027739776</v>
      </c>
      <c r="Q56" s="33" t="n">
        <f aca="false">Q55*(1-Assumptions!$E$20)+O56-P56</f>
        <v>102.468137440021</v>
      </c>
      <c r="R56" s="33" t="n">
        <f aca="false">R55*(1-Assumptions!$E$22)+P56*(1-Assumptions!$E$21)</f>
        <v>144.569395588563</v>
      </c>
      <c r="S56" s="33" t="n">
        <f aca="false">Q56+R56</f>
        <v>247.037533028585</v>
      </c>
      <c r="T56" s="33" t="n">
        <f aca="false">T55*(1-Assumptions!$E$24)+M56*Assumptions!$E$23</f>
        <v>36.1354631442152</v>
      </c>
      <c r="U56" s="33" t="n">
        <f aca="false">U55*(1-Assumptions!$E$25)+K56</f>
        <v>17.2540161307065</v>
      </c>
      <c r="V56" s="33" t="n">
        <f aca="false">V55+M56</f>
        <v>159.996276962878</v>
      </c>
      <c r="W56" s="33" t="n">
        <f aca="false">N56+Q55*Assumptions!$E$20+P56*Assumptions!$E$21+R55*Assumptions!$E$22+T55*Assumptions!$E$24+U55*Assumptions!$E$25</f>
        <v>6.79408951788493</v>
      </c>
      <c r="X56" s="33" t="n">
        <f aca="false">IF(A56&lt;Assumptions!$E$34,0,Assumptions!$E$36*MIN(1,(A56-Assumptions!$E$34+1)/Assumptions!$E$35))*(S56+T56)</f>
        <v>84.95189885184</v>
      </c>
      <c r="Y56" s="31" t="n">
        <f aca="false">IF(Y55&gt;0,Y55,IF(AND(A56&gt;=Assumptions!$E$41,Q55+R55+T55&gt;=Assumptions!$E$40),A56,0))</f>
        <v>9</v>
      </c>
      <c r="Z56" s="33" t="n">
        <f aca="false">IF(Y56&gt;0,Assumptions!$E$42*MIN(1,(A56-Y56+1)/Assumptions!$E$43),0)*(S56+T56)</f>
        <v>141.5864980864</v>
      </c>
      <c r="AA56" s="35" t="n">
        <f aca="false">(1+Assumptions!$E$32)^(C56-1)</f>
        <v>1.21550625</v>
      </c>
      <c r="AB56" s="36" t="n">
        <f aca="false">O56*Assumptions!$E$27*AA56</f>
        <v>1089.40035662367</v>
      </c>
      <c r="AC56" s="36" t="n">
        <f aca="false">(Q55+R55)*Assumptions!$E$28*AA56</f>
        <v>29218.6888541024</v>
      </c>
      <c r="AD56" s="36" t="n">
        <f aca="false">M56*Assumptions!$E$29*AA56</f>
        <v>2477.15095901214</v>
      </c>
      <c r="AE56" s="36" t="n">
        <f aca="false">T55*Assumptions!$E$30*AA56</f>
        <v>3415.50303361558</v>
      </c>
      <c r="AF56" s="36" t="n">
        <f aca="false">U55*Assumptions!$E$31*AA56</f>
        <v>8226.13055059553</v>
      </c>
      <c r="AG56" s="36" t="n">
        <f aca="false">X56*Assumptions!$E$37*Assumptions!$E$38</f>
        <v>8495.189885184</v>
      </c>
      <c r="AH56" s="36" t="n">
        <f aca="false">Z56*Assumptions!$E$44*Assumptions!$E$45</f>
        <v>4955.527433024</v>
      </c>
      <c r="AI56" s="36" t="n">
        <f aca="false">SUM(AB56:AH56)</f>
        <v>57877.5910721573</v>
      </c>
      <c r="AJ56" s="36" t="n">
        <f aca="false">(S56*Assumptions!$E$28+T56*Assumptions!$E$30+U56*Assumptions!$E$31)*AA56+AG56+AH56</f>
        <v>55015.8892268318</v>
      </c>
      <c r="AK56" s="36" t="n">
        <f aca="false">(AI56-AH56)*Assumptions!$E$49</f>
        <v>1852.27222736966</v>
      </c>
      <c r="AL56" s="36" t="n">
        <f aca="false">(AC56+AE56+AF56)*Assumptions!$E$50</f>
        <v>286.022257068194</v>
      </c>
      <c r="AM56" s="36" t="n">
        <f aca="false">S56*Assumptions!$E$51+M56*Assumptions!$E$52</f>
        <v>370.058185556644</v>
      </c>
      <c r="AN56" s="36" t="n">
        <f aca="false">Assumptions!$E$53+Assumptions!$E$54*(S56+T56+U56)</f>
        <v>720.854024607013</v>
      </c>
      <c r="AO56" s="36" t="n">
        <f aca="false">IF(C56&gt;=2,Assumptions!$E$55,0)</f>
        <v>200</v>
      </c>
      <c r="AP56" s="33" t="n">
        <f aca="false">E56*Assumptions!$E$60/60+F56*Assumptions!$E$61+J56*Assumptions!$E$62+(S56+T56)*Assumptions!$E$63+X56*Assumptions!$E$64+Z56*Assumptions!$E$65+U56*Assumptions!$E$66+Assumptions!$E$67*52/12</f>
        <v>544.369482782813</v>
      </c>
      <c r="AQ56" s="33" t="n">
        <f aca="false">IF(BC55=1,Assumptions!$E$69,Assumptions!$E$68)*52/12</f>
        <v>346.666666666667</v>
      </c>
      <c r="AR56" s="33" t="n">
        <f aca="false">MAX(0,AP56-AQ56)</f>
        <v>197.702816116146</v>
      </c>
      <c r="AS56" s="36" t="n">
        <f aca="false">AR56*Assumptions!$E$70*Assumptions!$E$71</f>
        <v>1897.947034715</v>
      </c>
      <c r="AT56" s="36" t="n">
        <f aca="false">Assumptions!$E$56/12</f>
        <v>66.6666666666667</v>
      </c>
      <c r="AU56" s="36" t="n">
        <f aca="false">IF(A56=1,Assumptions!$E$57,0)+Assumptions!$E$58</f>
        <v>40</v>
      </c>
      <c r="AV56" s="36" t="n">
        <f aca="false">IF(AND(Y56&gt;0,Y56=A56),Assumptions!$E$46,0)+IF(Y56&gt;0,Assumptions!$E$47,0)</f>
        <v>50</v>
      </c>
      <c r="AW56" s="36" t="n">
        <f aca="false">AK56+AL56+AM56+AN56+AO56+AS56+AT56+AU56+AV56</f>
        <v>5483.82039598319</v>
      </c>
      <c r="AX56" s="36" t="n">
        <f aca="false">AI56-AW56</f>
        <v>52393.7706761741</v>
      </c>
      <c r="AY56" s="36" t="n">
        <f aca="false">MAX(0,AX56)*Assumptions!$E$73</f>
        <v>13098.4426690435</v>
      </c>
      <c r="AZ56" s="36" t="n">
        <f aca="false">AX56-AY56</f>
        <v>39295.3280071306</v>
      </c>
      <c r="BA56" s="36" t="n">
        <f aca="false">BA55+AZ56</f>
        <v>968540.034209293</v>
      </c>
      <c r="BB56" s="31" t="n">
        <f aca="false">IF(AZ56&gt;=Assumptions!$E$74/12,BB55+1,0)</f>
        <v>27</v>
      </c>
      <c r="BC56" s="31" t="n">
        <f aca="false">IF(OR(BC55=1,BB56&gt;=3),1,0)</f>
        <v>1</v>
      </c>
      <c r="BD56" s="31" t="n">
        <f aca="false">IF(AZ56&gt;=Assumptions!$E$75/12,BD55+1,0)</f>
        <v>38</v>
      </c>
      <c r="BE56" s="33" t="n">
        <f aca="false">AP56*12/52</f>
        <v>125.623726796034</v>
      </c>
      <c r="BF56" s="33" t="n">
        <f aca="false">AR56*12/52</f>
        <v>45.6237267960337</v>
      </c>
      <c r="BG56" s="31" t="n">
        <f aca="false">IF(AX56&gt;0,A56,999)</f>
        <v>52</v>
      </c>
      <c r="BH56" s="31" t="n">
        <f aca="false">IF(BB56&gt;=3,A56,999)</f>
        <v>52</v>
      </c>
      <c r="BI56" s="31" t="n">
        <f aca="false">IF(BD56&gt;=3,A56,999)</f>
        <v>52</v>
      </c>
    </row>
    <row r="57" customFormat="false" ht="15" hidden="false" customHeight="false" outlineLevel="0" collapsed="false">
      <c r="A57" s="31" t="n">
        <v>53</v>
      </c>
      <c r="B57" s="32" t="n">
        <f aca="false">DATE(2026,10+A57,1)</f>
        <v>47908</v>
      </c>
      <c r="C57" s="31" t="n">
        <f aca="false">INT((A57-1)/12)+1</f>
        <v>5</v>
      </c>
      <c r="D57" s="31" t="n">
        <f aca="false">IF(C57=1,Assumptions!$E$7,IF(C57=2,Assumptions!$E$8,Assumptions!$E$9))</f>
        <v>30</v>
      </c>
      <c r="E57" s="31" t="n">
        <f aca="false">D57*Assumptions!$E$10</f>
        <v>660</v>
      </c>
      <c r="F57" s="33" t="n">
        <f aca="false">E57*Assumptions!$E$11</f>
        <v>66</v>
      </c>
      <c r="G57" s="34" t="n">
        <f aca="false">MIN(1,Assumptions!$E$13+(1-Assumptions!$E$13)*(A57-1)/Assumptions!$E$14)</f>
        <v>1</v>
      </c>
      <c r="H57" s="33" t="n">
        <f aca="false">F57*Assumptions!$E$12*G57</f>
        <v>9.9</v>
      </c>
      <c r="I57" s="33" t="n">
        <f aca="false">Assumptions!$E$15*(Q56+R56+T56+U56)</f>
        <v>4.5064051845526</v>
      </c>
      <c r="J57" s="33" t="n">
        <f aca="false">H57+I57</f>
        <v>14.4064051845526</v>
      </c>
      <c r="K57" s="33" t="n">
        <f aca="false">J57*Assumptions!$E$18</f>
        <v>0.72032025922763</v>
      </c>
      <c r="L57" s="33" t="n">
        <f aca="false">(J57-K57)*Assumptions!$E$17</f>
        <v>9.58025944772748</v>
      </c>
      <c r="M57" s="33" t="n">
        <f aca="false">J57-K57-L57</f>
        <v>4.10582547759749</v>
      </c>
      <c r="N57" s="33" t="n">
        <f aca="false">L57*Assumptions!$E$19</f>
        <v>0.479012972386374</v>
      </c>
      <c r="O57" s="33" t="n">
        <f aca="false">L57-N57</f>
        <v>9.1012464753411</v>
      </c>
      <c r="P57" s="33" t="n">
        <f aca="false">O45*(1-Assumptions!$E$20)^12</f>
        <v>7.98662427802461</v>
      </c>
      <c r="Q57" s="33" t="n">
        <f aca="false">Q56*(1-Assumptions!$E$20)+O57-P57</f>
        <v>103.070418950138</v>
      </c>
      <c r="R57" s="33" t="n">
        <f aca="false">R56*(1-Assumptions!$E$22)+P57*(1-Assumptions!$E$21)</f>
        <v>148.143122549071</v>
      </c>
      <c r="S57" s="33" t="n">
        <f aca="false">Q57+R57</f>
        <v>251.213541499209</v>
      </c>
      <c r="T57" s="33" t="n">
        <f aca="false">T56*(1-Assumptions!$E$24)+M57*Assumptions!$E$23</f>
        <v>36.6937294409278</v>
      </c>
      <c r="U57" s="33" t="n">
        <f aca="false">U56*(1-Assumptions!$E$25)+K57</f>
        <v>17.5429859866665</v>
      </c>
      <c r="V57" s="33" t="n">
        <f aca="false">V56+M57</f>
        <v>164.102102440475</v>
      </c>
      <c r="W57" s="33" t="n">
        <f aca="false">N57+Q56*Assumptions!$E$20+P57*Assumptions!$E$21+R56*Assumptions!$E$22+T56*Assumptions!$E$24+U56*Assumptions!$E$25</f>
        <v>6.91966527469715</v>
      </c>
      <c r="X57" s="33" t="n">
        <f aca="false">IF(A57&lt;Assumptions!$E$34,0,Assumptions!$E$36*MIN(1,(A57-Assumptions!$E$34+1)/Assumptions!$E$35))*(S57+T57)</f>
        <v>86.3721812820411</v>
      </c>
      <c r="Y57" s="31" t="n">
        <f aca="false">IF(Y56&gt;0,Y56,IF(AND(A57&gt;=Assumptions!$E$41,Q56+R56+T56&gt;=Assumptions!$E$40),A57,0))</f>
        <v>9</v>
      </c>
      <c r="Z57" s="33" t="n">
        <f aca="false">IF(Y57&gt;0,Assumptions!$E$42*MIN(1,(A57-Y57+1)/Assumptions!$E$43),0)*(S57+T57)</f>
        <v>143.953635470068</v>
      </c>
      <c r="AA57" s="35" t="n">
        <f aca="false">(1+Assumptions!$E$32)^(C57-1)</f>
        <v>1.21550625</v>
      </c>
      <c r="AB57" s="36" t="n">
        <f aca="false">O57*Assumptions!$E$27*AA57</f>
        <v>1095.19957538319</v>
      </c>
      <c r="AC57" s="36" t="n">
        <f aca="false">(Q56+R56)*Assumptions!$E$28*AA57</f>
        <v>29727.2908727018</v>
      </c>
      <c r="AD57" s="36" t="n">
        <f aca="false">M57*Assumptions!$E$29*AA57</f>
        <v>2490.33760818506</v>
      </c>
      <c r="AE57" s="36" t="n">
        <f aca="false">T56*Assumptions!$E$30*AA57</f>
        <v>3469.90762257662</v>
      </c>
      <c r="AF57" s="36" t="n">
        <f aca="false">U56*Assumptions!$E$31*AA57</f>
        <v>8367.97341334537</v>
      </c>
      <c r="AG57" s="36" t="n">
        <f aca="false">X57*Assumptions!$E$37*Assumptions!$E$38</f>
        <v>8637.21812820411</v>
      </c>
      <c r="AH57" s="36" t="n">
        <f aca="false">Z57*Assumptions!$E$44*Assumptions!$E$45</f>
        <v>5038.3772414524</v>
      </c>
      <c r="AI57" s="36" t="n">
        <f aca="false">SUM(AB57:AH57)</f>
        <v>58826.3044618485</v>
      </c>
      <c r="AJ57" s="36" t="n">
        <f aca="false">(S57*Assumptions!$E$28+T57*Assumptions!$E$30+U57*Assumptions!$E$31)*AA57+AG57+AH57</f>
        <v>55937.0418928729</v>
      </c>
      <c r="AK57" s="36" t="n">
        <f aca="false">(AI57-AH57)*Assumptions!$E$49</f>
        <v>1882.57745271387</v>
      </c>
      <c r="AL57" s="36" t="n">
        <f aca="false">(AC57+AE57+AF57)*Assumptions!$E$50</f>
        <v>290.956203360367</v>
      </c>
      <c r="AM57" s="36" t="n">
        <f aca="false">S57*Assumptions!$E$51+M57*Assumptions!$E$52</f>
        <v>375.604309037974</v>
      </c>
      <c r="AN57" s="36" t="n">
        <f aca="false">Assumptions!$E$53+Assumptions!$E$54*(S57+T57+U57)</f>
        <v>730.900513853607</v>
      </c>
      <c r="AO57" s="36" t="n">
        <f aca="false">IF(C57&gt;=2,Assumptions!$E$55,0)</f>
        <v>200</v>
      </c>
      <c r="AP57" s="33" t="n">
        <f aca="false">E57*Assumptions!$E$60/60+F57*Assumptions!$E$61+J57*Assumptions!$E$62+(S57+T57)*Assumptions!$E$63+X57*Assumptions!$E$64+Z57*Assumptions!$E$65+U57*Assumptions!$E$66+Assumptions!$E$67*52/12</f>
        <v>552.201671705843</v>
      </c>
      <c r="AQ57" s="33" t="n">
        <f aca="false">IF(BC56=1,Assumptions!$E$69,Assumptions!$E$68)*52/12</f>
        <v>346.666666666667</v>
      </c>
      <c r="AR57" s="33" t="n">
        <f aca="false">MAX(0,AP57-AQ57)</f>
        <v>205.535005039176</v>
      </c>
      <c r="AS57" s="36" t="n">
        <f aca="false">AR57*Assumptions!$E$70*Assumptions!$E$71</f>
        <v>1973.13604837609</v>
      </c>
      <c r="AT57" s="36" t="n">
        <f aca="false">Assumptions!$E$56/12</f>
        <v>66.6666666666667</v>
      </c>
      <c r="AU57" s="36" t="n">
        <f aca="false">IF(A57=1,Assumptions!$E$57,0)+Assumptions!$E$58</f>
        <v>40</v>
      </c>
      <c r="AV57" s="36" t="n">
        <f aca="false">IF(AND(Y57&gt;0,Y57=A57),Assumptions!$E$46,0)+IF(Y57&gt;0,Assumptions!$E$47,0)</f>
        <v>50</v>
      </c>
      <c r="AW57" s="36" t="n">
        <f aca="false">AK57+AL57+AM57+AN57+AO57+AS57+AT57+AU57+AV57</f>
        <v>5609.84119400857</v>
      </c>
      <c r="AX57" s="36" t="n">
        <f aca="false">AI57-AW57</f>
        <v>53216.46326784</v>
      </c>
      <c r="AY57" s="36" t="n">
        <f aca="false">MAX(0,AX57)*Assumptions!$E$73</f>
        <v>13304.11581696</v>
      </c>
      <c r="AZ57" s="36" t="n">
        <f aca="false">AX57-AY57</f>
        <v>39912.34745088</v>
      </c>
      <c r="BA57" s="36" t="n">
        <f aca="false">BA56+AZ57</f>
        <v>1008452.38166017</v>
      </c>
      <c r="BB57" s="31" t="n">
        <f aca="false">IF(AZ57&gt;=Assumptions!$E$74/12,BB56+1,0)</f>
        <v>28</v>
      </c>
      <c r="BC57" s="31" t="n">
        <f aca="false">IF(OR(BC56=1,BB57&gt;=3),1,0)</f>
        <v>1</v>
      </c>
      <c r="BD57" s="31" t="n">
        <f aca="false">IF(AZ57&gt;=Assumptions!$E$75/12,BD56+1,0)</f>
        <v>39</v>
      </c>
      <c r="BE57" s="33" t="n">
        <f aca="false">AP57*12/52</f>
        <v>127.431155009041</v>
      </c>
      <c r="BF57" s="33" t="n">
        <f aca="false">AR57*12/52</f>
        <v>47.4311550090406</v>
      </c>
      <c r="BG57" s="31" t="n">
        <f aca="false">IF(AX57&gt;0,A57,999)</f>
        <v>53</v>
      </c>
      <c r="BH57" s="31" t="n">
        <f aca="false">IF(BB57&gt;=3,A57,999)</f>
        <v>53</v>
      </c>
      <c r="BI57" s="31" t="n">
        <f aca="false">IF(BD57&gt;=3,A57,999)</f>
        <v>53</v>
      </c>
    </row>
    <row r="58" customFormat="false" ht="15" hidden="false" customHeight="false" outlineLevel="0" collapsed="false">
      <c r="A58" s="31" t="n">
        <v>54</v>
      </c>
      <c r="B58" s="32" t="n">
        <f aca="false">DATE(2026,10+A58,1)</f>
        <v>47939</v>
      </c>
      <c r="C58" s="31" t="n">
        <f aca="false">INT((A58-1)/12)+1</f>
        <v>5</v>
      </c>
      <c r="D58" s="31" t="n">
        <f aca="false">IF(C58=1,Assumptions!$E$7,IF(C58=2,Assumptions!$E$8,Assumptions!$E$9))</f>
        <v>30</v>
      </c>
      <c r="E58" s="31" t="n">
        <f aca="false">D58*Assumptions!$E$10</f>
        <v>660</v>
      </c>
      <c r="F58" s="33" t="n">
        <f aca="false">E58*Assumptions!$E$11</f>
        <v>66</v>
      </c>
      <c r="G58" s="34" t="n">
        <f aca="false">MIN(1,Assumptions!$E$13+(1-Assumptions!$E$13)*(A58-1)/Assumptions!$E$14)</f>
        <v>1</v>
      </c>
      <c r="H58" s="33" t="n">
        <f aca="false">F58*Assumptions!$E$12*G58</f>
        <v>9.9</v>
      </c>
      <c r="I58" s="33" t="n">
        <f aca="false">Assumptions!$E$15*(Q57+R57+T57+U57)</f>
        <v>4.58175385390205</v>
      </c>
      <c r="J58" s="33" t="n">
        <f aca="false">H58+I58</f>
        <v>14.4817538539021</v>
      </c>
      <c r="K58" s="33" t="n">
        <f aca="false">J58*Assumptions!$E$18</f>
        <v>0.724087692695103</v>
      </c>
      <c r="L58" s="33" t="n">
        <f aca="false">(J58-K58)*Assumptions!$E$17</f>
        <v>9.63036631284486</v>
      </c>
      <c r="M58" s="33" t="n">
        <f aca="false">J58-K58-L58</f>
        <v>4.12729984836209</v>
      </c>
      <c r="N58" s="33" t="n">
        <f aca="false">L58*Assumptions!$E$19</f>
        <v>0.481518315642243</v>
      </c>
      <c r="O58" s="33" t="n">
        <f aca="false">L58-N58</f>
        <v>9.14884799720262</v>
      </c>
      <c r="P58" s="33" t="n">
        <f aca="false">O46*(1-Assumptions!$E$20)^12</f>
        <v>8.03860045981793</v>
      </c>
      <c r="Q58" s="33" t="n">
        <f aca="false">Q57*(1-Assumptions!$E$20)+O58-P58</f>
        <v>103.665314392772</v>
      </c>
      <c r="R58" s="33" t="n">
        <f aca="false">R57*(1-Assumptions!$E$22)+P58*(1-Assumptions!$E$21)</f>
        <v>151.674284899181</v>
      </c>
      <c r="S58" s="33" t="n">
        <f aca="false">Q58+R58</f>
        <v>255.339599291952</v>
      </c>
      <c r="T58" s="33" t="n">
        <f aca="false">T57*(1-Assumptions!$E$24)+M58*Assumptions!$E$23</f>
        <v>37.2438374970448</v>
      </c>
      <c r="U58" s="33" t="n">
        <f aca="false">U57*(1-Assumptions!$E$25)+K58</f>
        <v>17.8284990296949</v>
      </c>
      <c r="V58" s="33" t="n">
        <f aca="false">V57+M58</f>
        <v>168.229402288837</v>
      </c>
      <c r="W58" s="33" t="n">
        <f aca="false">N58+Q57*Assumptions!$E$20+P58*Assumptions!$E$21+R57*Assumptions!$E$22+T57*Assumptions!$E$24+U57*Assumptions!$E$25</f>
        <v>7.04369505299601</v>
      </c>
      <c r="X58" s="33" t="n">
        <f aca="false">IF(A58&lt;Assumptions!$E$34,0,Assumptions!$E$36*MIN(1,(A58-Assumptions!$E$34+1)/Assumptions!$E$35))*(S58+T58)</f>
        <v>87.7750310366992</v>
      </c>
      <c r="Y58" s="31" t="n">
        <f aca="false">IF(Y57&gt;0,Y57,IF(AND(A58&gt;=Assumptions!$E$41,Q57+R57+T57&gt;=Assumptions!$E$40),A58,0))</f>
        <v>9</v>
      </c>
      <c r="Z58" s="33" t="n">
        <f aca="false">IF(Y58&gt;0,Assumptions!$E$42*MIN(1,(A58-Y58+1)/Assumptions!$E$43),0)*(S58+T58)</f>
        <v>146.291718394499</v>
      </c>
      <c r="AA58" s="35" t="n">
        <f aca="false">(1+Assumptions!$E$32)^(C58-1)</f>
        <v>1.21550625</v>
      </c>
      <c r="AB58" s="36" t="n">
        <f aca="false">O58*Assumptions!$E$27*AA58</f>
        <v>1100.92771016908</v>
      </c>
      <c r="AC58" s="36" t="n">
        <f aca="false">(Q57+R57)*Assumptions!$E$28*AA58</f>
        <v>30229.8113479154</v>
      </c>
      <c r="AD58" s="36" t="n">
        <f aca="false">M58*Assumptions!$E$29*AA58</f>
        <v>2503.36262189278</v>
      </c>
      <c r="AE58" s="36" t="n">
        <f aca="false">T57*Assumptions!$E$30*AA58</f>
        <v>3523.51514022928</v>
      </c>
      <c r="AF58" s="36" t="n">
        <f aca="false">U57*Assumptions!$E$31*AA58</f>
        <v>8508.12003507176</v>
      </c>
      <c r="AG58" s="36" t="n">
        <f aca="false">X58*Assumptions!$E$37*Assumptions!$E$38</f>
        <v>8777.50310366992</v>
      </c>
      <c r="AH58" s="36" t="n">
        <f aca="false">Z58*Assumptions!$E$44*Assumptions!$E$45</f>
        <v>5120.21014380745</v>
      </c>
      <c r="AI58" s="36" t="n">
        <f aca="false">SUM(AB58:AH58)</f>
        <v>59763.4501027557</v>
      </c>
      <c r="AJ58" s="36" t="n">
        <f aca="false">(S58*Assumptions!$E$28+T58*Assumptions!$E$30+U58*Assumptions!$E$31)*AA58+AG58+AH58</f>
        <v>56846.9636602182</v>
      </c>
      <c r="AK58" s="36" t="n">
        <f aca="false">(AI58-AH58)*Assumptions!$E$49</f>
        <v>1912.51339856319</v>
      </c>
      <c r="AL58" s="36" t="n">
        <f aca="false">(AC58+AE58+AF58)*Assumptions!$E$50</f>
        <v>295.830125662515</v>
      </c>
      <c r="AM58" s="36" t="n">
        <f aca="false">S58*Assumptions!$E$51+M58*Assumptions!$E$52</f>
        <v>381.083996840372</v>
      </c>
      <c r="AN58" s="36" t="n">
        <f aca="false">Assumptions!$E$53+Assumptions!$E$54*(S58+T58+U58)</f>
        <v>740.823871637384</v>
      </c>
      <c r="AO58" s="36" t="n">
        <f aca="false">IF(C58&gt;=2,Assumptions!$E$55,0)</f>
        <v>200</v>
      </c>
      <c r="AP58" s="33" t="n">
        <f aca="false">E58*Assumptions!$E$60/60+F58*Assumptions!$E$61+J58*Assumptions!$E$62+(S58+T58)*Assumptions!$E$63+X58*Assumptions!$E$64+Z58*Assumptions!$E$65+U58*Assumptions!$E$66+Assumptions!$E$67*52/12</f>
        <v>559.938179674749</v>
      </c>
      <c r="AQ58" s="33" t="n">
        <f aca="false">IF(BC57=1,Assumptions!$E$69,Assumptions!$E$68)*52/12</f>
        <v>346.666666666667</v>
      </c>
      <c r="AR58" s="33" t="n">
        <f aca="false">MAX(0,AP58-AQ58)</f>
        <v>213.271513008082</v>
      </c>
      <c r="AS58" s="36" t="n">
        <f aca="false">AR58*Assumptions!$E$70*Assumptions!$E$71</f>
        <v>2047.40652487759</v>
      </c>
      <c r="AT58" s="36" t="n">
        <f aca="false">Assumptions!$E$56/12</f>
        <v>66.6666666666667</v>
      </c>
      <c r="AU58" s="36" t="n">
        <f aca="false">IF(A58=1,Assumptions!$E$57,0)+Assumptions!$E$58</f>
        <v>40</v>
      </c>
      <c r="AV58" s="36" t="n">
        <f aca="false">IF(AND(Y58&gt;0,Y58=A58),Assumptions!$E$46,0)+IF(Y58&gt;0,Assumptions!$E$47,0)</f>
        <v>50</v>
      </c>
      <c r="AW58" s="36" t="n">
        <f aca="false">AK58+AL58+AM58+AN58+AO58+AS58+AT58+AU58+AV58</f>
        <v>5734.32458424772</v>
      </c>
      <c r="AX58" s="36" t="n">
        <f aca="false">AI58-AW58</f>
        <v>54029.1255185079</v>
      </c>
      <c r="AY58" s="36" t="n">
        <f aca="false">MAX(0,AX58)*Assumptions!$E$73</f>
        <v>13507.281379627</v>
      </c>
      <c r="AZ58" s="36" t="n">
        <f aca="false">AX58-AY58</f>
        <v>40521.844138881</v>
      </c>
      <c r="BA58" s="36" t="n">
        <f aca="false">BA57+AZ58</f>
        <v>1048974.22579905</v>
      </c>
      <c r="BB58" s="31" t="n">
        <f aca="false">IF(AZ58&gt;=Assumptions!$E$74/12,BB57+1,0)</f>
        <v>29</v>
      </c>
      <c r="BC58" s="31" t="n">
        <f aca="false">IF(OR(BC57=1,BB58&gt;=3),1,0)</f>
        <v>1</v>
      </c>
      <c r="BD58" s="31" t="n">
        <f aca="false">IF(AZ58&gt;=Assumptions!$E$75/12,BD57+1,0)</f>
        <v>40</v>
      </c>
      <c r="BE58" s="33" t="n">
        <f aca="false">AP58*12/52</f>
        <v>129.216503001865</v>
      </c>
      <c r="BF58" s="33" t="n">
        <f aca="false">AR58*12/52</f>
        <v>49.2165030018652</v>
      </c>
      <c r="BG58" s="31" t="n">
        <f aca="false">IF(AX58&gt;0,A58,999)</f>
        <v>54</v>
      </c>
      <c r="BH58" s="31" t="n">
        <f aca="false">IF(BB58&gt;=3,A58,999)</f>
        <v>54</v>
      </c>
      <c r="BI58" s="31" t="n">
        <f aca="false">IF(BD58&gt;=3,A58,999)</f>
        <v>54</v>
      </c>
    </row>
    <row r="59" customFormat="false" ht="15" hidden="false" customHeight="false" outlineLevel="0" collapsed="false">
      <c r="A59" s="31" t="n">
        <v>55</v>
      </c>
      <c r="B59" s="32" t="n">
        <f aca="false">DATE(2026,10+A59,1)</f>
        <v>47969</v>
      </c>
      <c r="C59" s="31" t="n">
        <f aca="false">INT((A59-1)/12)+1</f>
        <v>5</v>
      </c>
      <c r="D59" s="31" t="n">
        <f aca="false">IF(C59=1,Assumptions!$E$7,IF(C59=2,Assumptions!$E$8,Assumptions!$E$9))</f>
        <v>30</v>
      </c>
      <c r="E59" s="31" t="n">
        <f aca="false">D59*Assumptions!$E$10</f>
        <v>660</v>
      </c>
      <c r="F59" s="33" t="n">
        <f aca="false">E59*Assumptions!$E$11</f>
        <v>66</v>
      </c>
      <c r="G59" s="34" t="n">
        <f aca="false">MIN(1,Assumptions!$E$13+(1-Assumptions!$E$13)*(A59-1)/Assumptions!$E$14)</f>
        <v>1</v>
      </c>
      <c r="H59" s="33" t="n">
        <f aca="false">F59*Assumptions!$E$12*G59</f>
        <v>9.9</v>
      </c>
      <c r="I59" s="33" t="n">
        <f aca="false">Assumptions!$E$15*(Q58+R58+T58+U58)</f>
        <v>4.65617903728038</v>
      </c>
      <c r="J59" s="33" t="n">
        <f aca="false">H59+I59</f>
        <v>14.5561790372804</v>
      </c>
      <c r="K59" s="33" t="n">
        <f aca="false">J59*Assumptions!$E$18</f>
        <v>0.727808951864019</v>
      </c>
      <c r="L59" s="33" t="n">
        <f aca="false">(J59-K59)*Assumptions!$E$17</f>
        <v>9.67985905979145</v>
      </c>
      <c r="M59" s="33" t="n">
        <f aca="false">J59-K59-L59</f>
        <v>4.14851102562491</v>
      </c>
      <c r="N59" s="33" t="n">
        <f aca="false">L59*Assumptions!$E$19</f>
        <v>0.483992952989573</v>
      </c>
      <c r="O59" s="33" t="n">
        <f aca="false">L59-N59</f>
        <v>9.19586610680188</v>
      </c>
      <c r="P59" s="33" t="n">
        <f aca="false">O47*(1-Assumptions!$E$20)^12</f>
        <v>8.08993929561801</v>
      </c>
      <c r="Q59" s="33" t="n">
        <f aca="false">Q58*(1-Assumptions!$E$20)+O59-P59</f>
        <v>104.252914631992</v>
      </c>
      <c r="R59" s="33" t="n">
        <f aca="false">R58*(1-Assumptions!$E$22)+P59*(1-Assumptions!$E$21)</f>
        <v>155.163373142757</v>
      </c>
      <c r="S59" s="33" t="n">
        <f aca="false">Q59+R59</f>
        <v>259.416287774749</v>
      </c>
      <c r="T59" s="33" t="n">
        <f aca="false">T58*(1-Assumptions!$E$24)+M59*Assumptions!$E$23</f>
        <v>37.7859267823834</v>
      </c>
      <c r="U59" s="33" t="n">
        <f aca="false">U58*(1-Assumptions!$E$25)+K59</f>
        <v>18.1105955058166</v>
      </c>
      <c r="V59" s="33" t="n">
        <f aca="false">V58+M59</f>
        <v>172.377913314462</v>
      </c>
      <c r="W59" s="33" t="n">
        <f aca="false">N59+Q58*Assumptions!$E$20+P59*Assumptions!$E$21+R58*Assumptions!$E$22+T58*Assumptions!$E$24+U58*Assumptions!$E$25</f>
        <v>7.16619817764847</v>
      </c>
      <c r="X59" s="33" t="n">
        <f aca="false">IF(A59&lt;Assumptions!$E$34,0,Assumptions!$E$36*MIN(1,(A59-Assumptions!$E$34+1)/Assumptions!$E$35))*(S59+T59)</f>
        <v>89.1606643671398</v>
      </c>
      <c r="Y59" s="31" t="n">
        <f aca="false">IF(Y58&gt;0,Y58,IF(AND(A59&gt;=Assumptions!$E$41,Q58+R58+T58&gt;=Assumptions!$E$40),A59,0))</f>
        <v>9</v>
      </c>
      <c r="Z59" s="33" t="n">
        <f aca="false">IF(Y59&gt;0,Assumptions!$E$42*MIN(1,(A59-Y59+1)/Assumptions!$E$43),0)*(S59+T59)</f>
        <v>148.601107278566</v>
      </c>
      <c r="AA59" s="35" t="n">
        <f aca="false">(1+Assumptions!$E$32)^(C59-1)</f>
        <v>1.21550625</v>
      </c>
      <c r="AB59" s="36" t="n">
        <f aca="false">O59*Assumptions!$E$27*AA59</f>
        <v>1106.58563997111</v>
      </c>
      <c r="AC59" s="36" t="n">
        <f aca="false">(Q58+R58)*Assumptions!$E$28*AA59</f>
        <v>30726.3210023745</v>
      </c>
      <c r="AD59" s="36" t="n">
        <f aca="false">M59*Assumptions!$E$29*AA59</f>
        <v>2516.22799884065</v>
      </c>
      <c r="AE59" s="36" t="n">
        <f aca="false">T58*Assumptions!$E$30*AA59</f>
        <v>3576.33926287974</v>
      </c>
      <c r="AF59" s="36" t="n">
        <f aca="false">U58*Assumptions!$E$31*AA59</f>
        <v>8646.59014748654</v>
      </c>
      <c r="AG59" s="36" t="n">
        <f aca="false">X59*Assumptions!$E$37*Assumptions!$E$38</f>
        <v>8916.06643671398</v>
      </c>
      <c r="AH59" s="36" t="n">
        <f aca="false">Z59*Assumptions!$E$44*Assumptions!$E$45</f>
        <v>5201.03875474982</v>
      </c>
      <c r="AI59" s="36" t="n">
        <f aca="false">SUM(AB59:AH59)</f>
        <v>60689.1692430164</v>
      </c>
      <c r="AJ59" s="36" t="n">
        <f aca="false">(S59*Assumptions!$E$28+T59*Assumptions!$E$30+U59*Assumptions!$E$31)*AA59+AG59+AH59</f>
        <v>57745.791639027</v>
      </c>
      <c r="AK59" s="36" t="n">
        <f aca="false">(AI59-AH59)*Assumptions!$E$49</f>
        <v>1942.08456708933</v>
      </c>
      <c r="AL59" s="36" t="n">
        <f aca="false">(AC59+AE59+AF59)*Assumptions!$E$50</f>
        <v>300.644752889186</v>
      </c>
      <c r="AM59" s="36" t="n">
        <f aca="false">S59*Assumptions!$E$51+M59*Assumptions!$E$52</f>
        <v>386.49802510281</v>
      </c>
      <c r="AN59" s="36" t="n">
        <f aca="false">Assumptions!$E$53+Assumptions!$E$54*(S59+T59+U59)</f>
        <v>750.625620125898</v>
      </c>
      <c r="AO59" s="36" t="n">
        <f aca="false">IF(C59&gt;=2,Assumptions!$E$55,0)</f>
        <v>200</v>
      </c>
      <c r="AP59" s="33" t="n">
        <f aca="false">E59*Assumptions!$E$60/60+F59*Assumptions!$E$61+J59*Assumptions!$E$62+(S59+T59)*Assumptions!$E$63+X59*Assumptions!$E$64+Z59*Assumptions!$E$65+U59*Assumptions!$E$66+Assumptions!$E$67*52/12</f>
        <v>567.580180373204</v>
      </c>
      <c r="AQ59" s="33" t="n">
        <f aca="false">IF(BC58=1,Assumptions!$E$69,Assumptions!$E$68)*52/12</f>
        <v>346.666666666667</v>
      </c>
      <c r="AR59" s="33" t="n">
        <f aca="false">MAX(0,AP59-AQ59)</f>
        <v>220.913513706538</v>
      </c>
      <c r="AS59" s="36" t="n">
        <f aca="false">AR59*Assumptions!$E$70*Assumptions!$E$71</f>
        <v>2120.76973158276</v>
      </c>
      <c r="AT59" s="36" t="n">
        <f aca="false">Assumptions!$E$56/12</f>
        <v>66.6666666666667</v>
      </c>
      <c r="AU59" s="36" t="n">
        <f aca="false">IF(A59=1,Assumptions!$E$57,0)+Assumptions!$E$58</f>
        <v>40</v>
      </c>
      <c r="AV59" s="36" t="n">
        <f aca="false">IF(AND(Y59&gt;0,Y59=A59),Assumptions!$E$46,0)+IF(Y59&gt;0,Assumptions!$E$47,0)</f>
        <v>50</v>
      </c>
      <c r="AW59" s="36" t="n">
        <f aca="false">AK59+AL59+AM59+AN59+AO59+AS59+AT59+AU59+AV59</f>
        <v>5857.28936345665</v>
      </c>
      <c r="AX59" s="36" t="n">
        <f aca="false">AI59-AW59</f>
        <v>54831.8798795597</v>
      </c>
      <c r="AY59" s="36" t="n">
        <f aca="false">MAX(0,AX59)*Assumptions!$E$73</f>
        <v>13707.9699698899</v>
      </c>
      <c r="AZ59" s="36" t="n">
        <f aca="false">AX59-AY59</f>
        <v>41123.9099096698</v>
      </c>
      <c r="BA59" s="36" t="n">
        <f aca="false">BA58+AZ59</f>
        <v>1090098.13570872</v>
      </c>
      <c r="BB59" s="31" t="n">
        <f aca="false">IF(AZ59&gt;=Assumptions!$E$74/12,BB58+1,0)</f>
        <v>30</v>
      </c>
      <c r="BC59" s="31" t="n">
        <f aca="false">IF(OR(BC58=1,BB59&gt;=3),1,0)</f>
        <v>1</v>
      </c>
      <c r="BD59" s="31" t="n">
        <f aca="false">IF(AZ59&gt;=Assumptions!$E$75/12,BD58+1,0)</f>
        <v>41</v>
      </c>
      <c r="BE59" s="33" t="n">
        <f aca="false">AP59*12/52</f>
        <v>130.980041624586</v>
      </c>
      <c r="BF59" s="33" t="n">
        <f aca="false">AR59*12/52</f>
        <v>50.9800416245856</v>
      </c>
      <c r="BG59" s="31" t="n">
        <f aca="false">IF(AX59&gt;0,A59,999)</f>
        <v>55</v>
      </c>
      <c r="BH59" s="31" t="n">
        <f aca="false">IF(BB59&gt;=3,A59,999)</f>
        <v>55</v>
      </c>
      <c r="BI59" s="31" t="n">
        <f aca="false">IF(BD59&gt;=3,A59,999)</f>
        <v>55</v>
      </c>
    </row>
    <row r="60" customFormat="false" ht="15" hidden="false" customHeight="false" outlineLevel="0" collapsed="false">
      <c r="A60" s="31" t="n">
        <v>56</v>
      </c>
      <c r="B60" s="32" t="n">
        <f aca="false">DATE(2026,10+A60,1)</f>
        <v>48000</v>
      </c>
      <c r="C60" s="31" t="n">
        <f aca="false">INT((A60-1)/12)+1</f>
        <v>5</v>
      </c>
      <c r="D60" s="31" t="n">
        <f aca="false">IF(C60=1,Assumptions!$E$7,IF(C60=2,Assumptions!$E$8,Assumptions!$E$9))</f>
        <v>30</v>
      </c>
      <c r="E60" s="31" t="n">
        <f aca="false">D60*Assumptions!$E$10</f>
        <v>660</v>
      </c>
      <c r="F60" s="33" t="n">
        <f aca="false">E60*Assumptions!$E$11</f>
        <v>66</v>
      </c>
      <c r="G60" s="34" t="n">
        <f aca="false">MIN(1,Assumptions!$E$13+(1-Assumptions!$E$13)*(A60-1)/Assumptions!$E$14)</f>
        <v>1</v>
      </c>
      <c r="H60" s="33" t="n">
        <f aca="false">F60*Assumptions!$E$12*G60</f>
        <v>9.9</v>
      </c>
      <c r="I60" s="33" t="n">
        <f aca="false">Assumptions!$E$15*(Q59+R59+T59+U59)</f>
        <v>4.72969215094424</v>
      </c>
      <c r="J60" s="33" t="n">
        <f aca="false">H60+I60</f>
        <v>14.6296921509442</v>
      </c>
      <c r="K60" s="33" t="n">
        <f aca="false">J60*Assumptions!$E$18</f>
        <v>0.731484607547212</v>
      </c>
      <c r="L60" s="33" t="n">
        <f aca="false">(J60-K60)*Assumptions!$E$17</f>
        <v>9.72874528037792</v>
      </c>
      <c r="M60" s="33" t="n">
        <f aca="false">J60-K60-L60</f>
        <v>4.16946226301911</v>
      </c>
      <c r="N60" s="33" t="n">
        <f aca="false">L60*Assumptions!$E$19</f>
        <v>0.486437264018896</v>
      </c>
      <c r="O60" s="33" t="n">
        <f aca="false">L60-N60</f>
        <v>9.24230801635902</v>
      </c>
      <c r="P60" s="33" t="n">
        <f aca="false">O48*(1-Assumptions!$E$20)^12</f>
        <v>8.14064862766</v>
      </c>
      <c r="Q60" s="33" t="n">
        <f aca="false">Q59*(1-Assumptions!$E$20)+O60-P60</f>
        <v>104.833309447531</v>
      </c>
      <c r="R60" s="33" t="n">
        <f aca="false">R59*(1-Assumptions!$E$22)+P60*(1-Assumptions!$E$21)</f>
        <v>158.610872579083</v>
      </c>
      <c r="S60" s="33" t="n">
        <f aca="false">Q60+R60</f>
        <v>263.444182026613</v>
      </c>
      <c r="T60" s="33" t="n">
        <f aca="false">T59*(1-Assumptions!$E$24)+M60*Assumptions!$E$23</f>
        <v>38.3201338841195</v>
      </c>
      <c r="U60" s="33" t="n">
        <f aca="false">U59*(1-Assumptions!$E$25)+K60</f>
        <v>18.3893152257184</v>
      </c>
      <c r="V60" s="33" t="n">
        <f aca="false">V59+M60</f>
        <v>176.547375577481</v>
      </c>
      <c r="W60" s="33" t="n">
        <f aca="false">N60+Q59*Assumptions!$E$20+P60*Assumptions!$E$21+R59*Assumptions!$E$22+T59*Assumptions!$E$24+U59*Assumptions!$E$25</f>
        <v>7.28719371963071</v>
      </c>
      <c r="X60" s="33" t="n">
        <f aca="false">IF(A60&lt;Assumptions!$E$34,0,Assumptions!$E$36*MIN(1,(A60-Assumptions!$E$34+1)/Assumptions!$E$35))*(S60+T60)</f>
        <v>90.5292947732199</v>
      </c>
      <c r="Y60" s="31" t="n">
        <f aca="false">IF(Y59&gt;0,Y59,IF(AND(A60&gt;=Assumptions!$E$41,Q59+R59+T59&gt;=Assumptions!$E$40),A60,0))</f>
        <v>9</v>
      </c>
      <c r="Z60" s="33" t="n">
        <f aca="false">IF(Y60&gt;0,Assumptions!$E$42*MIN(1,(A60-Y60+1)/Assumptions!$E$43),0)*(S60+T60)</f>
        <v>150.882157955366</v>
      </c>
      <c r="AA60" s="35" t="n">
        <f aca="false">(1+Assumptions!$E$32)^(C60-1)</f>
        <v>1.21550625</v>
      </c>
      <c r="AB60" s="36" t="n">
        <f aca="false">O60*Assumptions!$E$27*AA60</f>
        <v>1112.17423267264</v>
      </c>
      <c r="AC60" s="36" t="n">
        <f aca="false">(Q59+R59)*Assumptions!$E$28*AA60</f>
        <v>31216.8897950586</v>
      </c>
      <c r="AD60" s="36" t="n">
        <f aca="false">M60*Assumptions!$E$29*AA60</f>
        <v>2528.9357124796</v>
      </c>
      <c r="AE60" s="36" t="n">
        <f aca="false">T59*Assumptions!$E$30*AA60</f>
        <v>3628.39338311632</v>
      </c>
      <c r="AF60" s="36" t="n">
        <f aca="false">U59*Assumptions!$E$31*AA60</f>
        <v>8783.40326938825</v>
      </c>
      <c r="AG60" s="36" t="n">
        <f aca="false">X60*Assumptions!$E$37*Assumptions!$E$38</f>
        <v>9052.92947732199</v>
      </c>
      <c r="AH60" s="36" t="n">
        <f aca="false">Z60*Assumptions!$E$44*Assumptions!$E$45</f>
        <v>5280.87552843783</v>
      </c>
      <c r="AI60" s="36" t="n">
        <f aca="false">SUM(AB60:AH60)</f>
        <v>61603.6013984752</v>
      </c>
      <c r="AJ60" s="36" t="n">
        <f aca="false">(S60*Assumptions!$E$28+T60*Assumptions!$E$30+U60*Assumptions!$E$31)*AA60+AG60+AH60</f>
        <v>58633.661259093</v>
      </c>
      <c r="AK60" s="36" t="n">
        <f aca="false">(AI60-AH60)*Assumptions!$E$49</f>
        <v>1971.29540545131</v>
      </c>
      <c r="AL60" s="36" t="n">
        <f aca="false">(AC60+AE60+AF60)*Assumptions!$E$50</f>
        <v>305.400805132942</v>
      </c>
      <c r="AM60" s="36" t="n">
        <f aca="false">S60*Assumptions!$E$51+M60*Assumptions!$E$52</f>
        <v>391.847161478553</v>
      </c>
      <c r="AN60" s="36" t="n">
        <f aca="false">Assumptions!$E$53+Assumptions!$E$54*(S60+T60+U60)</f>
        <v>760.307262272903</v>
      </c>
      <c r="AO60" s="36" t="n">
        <f aca="false">IF(C60&gt;=2,Assumptions!$E$55,0)</f>
        <v>200</v>
      </c>
      <c r="AP60" s="33" t="n">
        <f aca="false">E60*Assumptions!$E$60/60+F60*Assumptions!$E$61+J60*Assumptions!$E$62+(S60+T60)*Assumptions!$E$63+X60*Assumptions!$E$64+Z60*Assumptions!$E$65+U60*Assumptions!$E$66+Assumptions!$E$67*52/12</f>
        <v>575.128832936729</v>
      </c>
      <c r="AQ60" s="33" t="n">
        <f aca="false">IF(BC59=1,Assumptions!$E$69,Assumptions!$E$68)*52/12</f>
        <v>346.666666666667</v>
      </c>
      <c r="AR60" s="33" t="n">
        <f aca="false">MAX(0,AP60-AQ60)</f>
        <v>228.462166270063</v>
      </c>
      <c r="AS60" s="36" t="n">
        <f aca="false">AR60*Assumptions!$E$70*Assumptions!$E$71</f>
        <v>2193.2367961926</v>
      </c>
      <c r="AT60" s="36" t="n">
        <f aca="false">Assumptions!$E$56/12</f>
        <v>66.6666666666667</v>
      </c>
      <c r="AU60" s="36" t="n">
        <f aca="false">IF(A60=1,Assumptions!$E$57,0)+Assumptions!$E$58</f>
        <v>40</v>
      </c>
      <c r="AV60" s="36" t="n">
        <f aca="false">IF(AND(Y60&gt;0,Y60=A60),Assumptions!$E$46,0)+IF(Y60&gt;0,Assumptions!$E$47,0)</f>
        <v>50</v>
      </c>
      <c r="AW60" s="36" t="n">
        <f aca="false">AK60+AL60+AM60+AN60+AO60+AS60+AT60+AU60+AV60</f>
        <v>5978.75409719498</v>
      </c>
      <c r="AX60" s="36" t="n">
        <f aca="false">AI60-AW60</f>
        <v>55624.8473012803</v>
      </c>
      <c r="AY60" s="36" t="n">
        <f aca="false">MAX(0,AX60)*Assumptions!$E$73</f>
        <v>13906.2118253201</v>
      </c>
      <c r="AZ60" s="36" t="n">
        <f aca="false">AX60-AY60</f>
        <v>41718.6354759602</v>
      </c>
      <c r="BA60" s="36" t="n">
        <f aca="false">BA59+AZ60</f>
        <v>1131816.77118468</v>
      </c>
      <c r="BB60" s="31" t="n">
        <f aca="false">IF(AZ60&gt;=Assumptions!$E$74/12,BB59+1,0)</f>
        <v>31</v>
      </c>
      <c r="BC60" s="31" t="n">
        <f aca="false">IF(OR(BC59=1,BB60&gt;=3),1,0)</f>
        <v>1</v>
      </c>
      <c r="BD60" s="31" t="n">
        <f aca="false">IF(AZ60&gt;=Assumptions!$E$75/12,BD59+1,0)</f>
        <v>42</v>
      </c>
      <c r="BE60" s="33" t="n">
        <f aca="false">AP60*12/52</f>
        <v>132.722038370014</v>
      </c>
      <c r="BF60" s="33" t="n">
        <f aca="false">AR60*12/52</f>
        <v>52.7220383700145</v>
      </c>
      <c r="BG60" s="31" t="n">
        <f aca="false">IF(AX60&gt;0,A60,999)</f>
        <v>56</v>
      </c>
      <c r="BH60" s="31" t="n">
        <f aca="false">IF(BB60&gt;=3,A60,999)</f>
        <v>56</v>
      </c>
      <c r="BI60" s="31" t="n">
        <f aca="false">IF(BD60&gt;=3,A60,999)</f>
        <v>56</v>
      </c>
    </row>
    <row r="61" customFormat="false" ht="15" hidden="false" customHeight="false" outlineLevel="0" collapsed="false">
      <c r="A61" s="31" t="n">
        <v>57</v>
      </c>
      <c r="B61" s="32" t="n">
        <f aca="false">DATE(2026,10+A61,1)</f>
        <v>48030</v>
      </c>
      <c r="C61" s="31" t="n">
        <f aca="false">INT((A61-1)/12)+1</f>
        <v>5</v>
      </c>
      <c r="D61" s="31" t="n">
        <f aca="false">IF(C61=1,Assumptions!$E$7,IF(C61=2,Assumptions!$E$8,Assumptions!$E$9))</f>
        <v>30</v>
      </c>
      <c r="E61" s="31" t="n">
        <f aca="false">D61*Assumptions!$E$10</f>
        <v>660</v>
      </c>
      <c r="F61" s="33" t="n">
        <f aca="false">E61*Assumptions!$E$11</f>
        <v>66</v>
      </c>
      <c r="G61" s="34" t="n">
        <f aca="false">MIN(1,Assumptions!$E$13+(1-Assumptions!$E$13)*(A61-1)/Assumptions!$E$14)</f>
        <v>1</v>
      </c>
      <c r="H61" s="33" t="n">
        <f aca="false">F61*Assumptions!$E$12*G61</f>
        <v>9.9</v>
      </c>
      <c r="I61" s="33" t="n">
        <f aca="false">Assumptions!$E$15*(Q60+R60+T60+U60)</f>
        <v>4.80230446704677</v>
      </c>
      <c r="J61" s="33" t="n">
        <f aca="false">H61+I61</f>
        <v>14.7023044670468</v>
      </c>
      <c r="K61" s="33" t="n">
        <f aca="false">J61*Assumptions!$E$18</f>
        <v>0.735115223352339</v>
      </c>
      <c r="L61" s="33" t="n">
        <f aca="false">(J61-K61)*Assumptions!$E$17</f>
        <v>9.7770324705861</v>
      </c>
      <c r="M61" s="33" t="n">
        <f aca="false">J61-K61-L61</f>
        <v>4.19015677310833</v>
      </c>
      <c r="N61" s="33" t="n">
        <f aca="false">L61*Assumptions!$E$19</f>
        <v>0.488851623529305</v>
      </c>
      <c r="O61" s="33" t="n">
        <f aca="false">L61-N61</f>
        <v>9.2881808470568</v>
      </c>
      <c r="P61" s="33" t="n">
        <f aca="false">O49*(1-Assumptions!$E$20)^12</f>
        <v>8.19073616643444</v>
      </c>
      <c r="Q61" s="33" t="n">
        <f aca="false">Q60*(1-Assumptions!$E$20)+O61-P61</f>
        <v>105.406587580916</v>
      </c>
      <c r="R61" s="33" t="n">
        <f aca="false">R60*(1-Assumptions!$E$22)+P61*(1-Assumptions!$E$21)</f>
        <v>162.017263314396</v>
      </c>
      <c r="S61" s="33" t="n">
        <f aca="false">Q61+R61</f>
        <v>267.423850895312</v>
      </c>
      <c r="T61" s="33" t="n">
        <f aca="false">T60*(1-Assumptions!$E$24)+M61*Assumptions!$E$23</f>
        <v>38.8465925768393</v>
      </c>
      <c r="U61" s="33" t="n">
        <f aca="false">U60*(1-Assumptions!$E$25)+K61</f>
        <v>18.6646975684278</v>
      </c>
      <c r="V61" s="33" t="n">
        <f aca="false">V60+M61</f>
        <v>180.73753235059</v>
      </c>
      <c r="W61" s="33" t="n">
        <f aca="false">N61+Q60*Assumptions!$E$20+P61*Assumptions!$E$21+R60*Assumptions!$E$22+T60*Assumptions!$E$24+U60*Assumptions!$E$25</f>
        <v>7.40670049905401</v>
      </c>
      <c r="X61" s="33" t="n">
        <f aca="false">IF(A61&lt;Assumptions!$E$34,0,Assumptions!$E$36*MIN(1,(A61-Assumptions!$E$34+1)/Assumptions!$E$35))*(S61+T61)</f>
        <v>91.8811330416454</v>
      </c>
      <c r="Y61" s="31" t="n">
        <f aca="false">IF(Y60&gt;0,Y60,IF(AND(A61&gt;=Assumptions!$E$41,Q60+R60+T60&gt;=Assumptions!$E$40),A61,0))</f>
        <v>9</v>
      </c>
      <c r="Z61" s="33" t="n">
        <f aca="false">IF(Y61&gt;0,Assumptions!$E$42*MIN(1,(A61-Y61+1)/Assumptions!$E$43),0)*(S61+T61)</f>
        <v>153.135221736076</v>
      </c>
      <c r="AA61" s="35" t="n">
        <f aca="false">(1+Assumptions!$E$32)^(C61-1)</f>
        <v>1.21550625</v>
      </c>
      <c r="AB61" s="36" t="n">
        <f aca="false">O61*Assumptions!$E$27*AA61</f>
        <v>1117.69434520206</v>
      </c>
      <c r="AC61" s="36" t="n">
        <f aca="false">(Q60+R60)*Assumptions!$E$28*AA61</f>
        <v>31701.5869281691</v>
      </c>
      <c r="AD61" s="36" t="n">
        <f aca="false">M61*Assumptions!$E$29*AA61</f>
        <v>2541.48771135031</v>
      </c>
      <c r="AE61" s="36" t="n">
        <f aca="false">T60*Assumptions!$E$30*AA61</f>
        <v>3679.69061672174</v>
      </c>
      <c r="AF61" s="36" t="n">
        <f aca="false">U60*Assumptions!$E$31*AA61</f>
        <v>8918.57870844226</v>
      </c>
      <c r="AG61" s="36" t="n">
        <f aca="false">X61*Assumptions!$E$37*Assumptions!$E$38</f>
        <v>9188.11330416454</v>
      </c>
      <c r="AH61" s="36" t="n">
        <f aca="false">Z61*Assumptions!$E$44*Assumptions!$E$45</f>
        <v>5359.73276076265</v>
      </c>
      <c r="AI61" s="36" t="n">
        <f aca="false">SUM(AB61:AH61)</f>
        <v>62506.8843748127</v>
      </c>
      <c r="AJ61" s="36" t="n">
        <f aca="false">(S61*Assumptions!$E$28+T61*Assumptions!$E$30+U61*Assumptions!$E$31)*AA61+AG61+AH61</f>
        <v>59510.7062913614</v>
      </c>
      <c r="AK61" s="36" t="n">
        <f aca="false">(AI61-AH61)*Assumptions!$E$49</f>
        <v>2000.15030649175</v>
      </c>
      <c r="AL61" s="36" t="n">
        <f aca="false">(AC61+AE61+AF61)*Assumptions!$E$50</f>
        <v>310.098993773332</v>
      </c>
      <c r="AM61" s="36" t="n">
        <f aca="false">S61*Assumptions!$E$51+M61*Assumptions!$E$52</f>
        <v>397.132165215765</v>
      </c>
      <c r="AN61" s="36" t="n">
        <f aca="false">Assumptions!$E$53+Assumptions!$E$54*(S61+T61+U61)</f>
        <v>769.870282081158</v>
      </c>
      <c r="AO61" s="36" t="n">
        <f aca="false">IF(C61&gt;=2,Assumptions!$E$55,0)</f>
        <v>200</v>
      </c>
      <c r="AP61" s="33" t="n">
        <f aca="false">E61*Assumptions!$E$60/60+F61*Assumptions!$E$61+J61*Assumptions!$E$62+(S61+T61)*Assumptions!$E$63+X61*Assumptions!$E$64+Z61*Assumptions!$E$65+U61*Assumptions!$E$66+Assumptions!$E$67*52/12</f>
        <v>582.585282143309</v>
      </c>
      <c r="AQ61" s="33" t="n">
        <f aca="false">IF(BC60=1,Assumptions!$E$69,Assumptions!$E$68)*52/12</f>
        <v>346.666666666667</v>
      </c>
      <c r="AR61" s="33" t="n">
        <f aca="false">MAX(0,AP61-AQ61)</f>
        <v>235.918615476643</v>
      </c>
      <c r="AS61" s="36" t="n">
        <f aca="false">AR61*Assumptions!$E$70*Assumptions!$E$71</f>
        <v>2264.81870857577</v>
      </c>
      <c r="AT61" s="36" t="n">
        <f aca="false">Assumptions!$E$56/12</f>
        <v>66.6666666666667</v>
      </c>
      <c r="AU61" s="36" t="n">
        <f aca="false">IF(A61=1,Assumptions!$E$57,0)+Assumptions!$E$58</f>
        <v>40</v>
      </c>
      <c r="AV61" s="36" t="n">
        <f aca="false">IF(AND(Y61&gt;0,Y61=A61),Assumptions!$E$46,0)+IF(Y61&gt;0,Assumptions!$E$47,0)</f>
        <v>50</v>
      </c>
      <c r="AW61" s="36" t="n">
        <f aca="false">AK61+AL61+AM61+AN61+AO61+AS61+AT61+AU61+AV61</f>
        <v>6098.73712280444</v>
      </c>
      <c r="AX61" s="36" t="n">
        <f aca="false">AI61-AW61</f>
        <v>56408.1472520082</v>
      </c>
      <c r="AY61" s="36" t="n">
        <f aca="false">MAX(0,AX61)*Assumptions!$E$73</f>
        <v>14102.0368130021</v>
      </c>
      <c r="AZ61" s="36" t="n">
        <f aca="false">AX61-AY61</f>
        <v>42306.1104390062</v>
      </c>
      <c r="BA61" s="36" t="n">
        <f aca="false">BA60+AZ61</f>
        <v>1174122.88162369</v>
      </c>
      <c r="BB61" s="31" t="n">
        <f aca="false">IF(AZ61&gt;=Assumptions!$E$74/12,BB60+1,0)</f>
        <v>32</v>
      </c>
      <c r="BC61" s="31" t="n">
        <f aca="false">IF(OR(BC60=1,BB61&gt;=3),1,0)</f>
        <v>1</v>
      </c>
      <c r="BD61" s="31" t="n">
        <f aca="false">IF(AZ61&gt;=Assumptions!$E$75/12,BD60+1,0)</f>
        <v>43</v>
      </c>
      <c r="BE61" s="33" t="n">
        <f aca="false">AP61*12/52</f>
        <v>134.442757417687</v>
      </c>
      <c r="BF61" s="33" t="n">
        <f aca="false">AR61*12/52</f>
        <v>54.4427574176868</v>
      </c>
      <c r="BG61" s="31" t="n">
        <f aca="false">IF(AX61&gt;0,A61,999)</f>
        <v>57</v>
      </c>
      <c r="BH61" s="31" t="n">
        <f aca="false">IF(BB61&gt;=3,A61,999)</f>
        <v>57</v>
      </c>
      <c r="BI61" s="31" t="n">
        <f aca="false">IF(BD61&gt;=3,A61,999)</f>
        <v>57</v>
      </c>
    </row>
    <row r="62" customFormat="false" ht="15" hidden="false" customHeight="false" outlineLevel="0" collapsed="false">
      <c r="A62" s="31" t="n">
        <v>58</v>
      </c>
      <c r="B62" s="32" t="n">
        <f aca="false">DATE(2026,10+A62,1)</f>
        <v>48061</v>
      </c>
      <c r="C62" s="31" t="n">
        <f aca="false">INT((A62-1)/12)+1</f>
        <v>5</v>
      </c>
      <c r="D62" s="31" t="n">
        <f aca="false">IF(C62=1,Assumptions!$E$7,IF(C62=2,Assumptions!$E$8,Assumptions!$E$9))</f>
        <v>30</v>
      </c>
      <c r="E62" s="31" t="n">
        <f aca="false">D62*Assumptions!$E$10</f>
        <v>660</v>
      </c>
      <c r="F62" s="33" t="n">
        <f aca="false">E62*Assumptions!$E$11</f>
        <v>66</v>
      </c>
      <c r="G62" s="34" t="n">
        <f aca="false">MIN(1,Assumptions!$E$13+(1-Assumptions!$E$13)*(A62-1)/Assumptions!$E$14)</f>
        <v>1</v>
      </c>
      <c r="H62" s="33" t="n">
        <f aca="false">F62*Assumptions!$E$12*G62</f>
        <v>9.9</v>
      </c>
      <c r="I62" s="33" t="n">
        <f aca="false">Assumptions!$E$15*(Q61+R61+T61+U61)</f>
        <v>4.87402711560868</v>
      </c>
      <c r="J62" s="33" t="n">
        <f aca="false">H62+I62</f>
        <v>14.7740271156087</v>
      </c>
      <c r="K62" s="33" t="n">
        <f aca="false">J62*Assumptions!$E$18</f>
        <v>0.738701355780434</v>
      </c>
      <c r="L62" s="33" t="n">
        <f aca="false">(J62-K62)*Assumptions!$E$17</f>
        <v>9.82472803187977</v>
      </c>
      <c r="M62" s="33" t="n">
        <f aca="false">J62-K62-L62</f>
        <v>4.21059772794848</v>
      </c>
      <c r="N62" s="33" t="n">
        <f aca="false">L62*Assumptions!$E$19</f>
        <v>0.491236401593989</v>
      </c>
      <c r="O62" s="33" t="n">
        <f aca="false">L62-N62</f>
        <v>9.33349163028579</v>
      </c>
      <c r="P62" s="33" t="n">
        <f aca="false">O50*(1-Assumptions!$E$20)^12</f>
        <v>8.24020949278763</v>
      </c>
      <c r="Q62" s="33" t="n">
        <f aca="false">Q61*(1-Assumptions!$E$20)+O62-P62</f>
        <v>105.972836780509</v>
      </c>
      <c r="R62" s="33" t="n">
        <f aca="false">R61*(1-Assumptions!$E$22)+P62*(1-Assumptions!$E$21)</f>
        <v>165.383020275045</v>
      </c>
      <c r="S62" s="33" t="n">
        <f aca="false">Q62+R62</f>
        <v>271.355857055555</v>
      </c>
      <c r="T62" s="33" t="n">
        <f aca="false">T61*(1-Assumptions!$E$24)+M62*Assumptions!$E$23</f>
        <v>39.3654338907135</v>
      </c>
      <c r="U62" s="33" t="n">
        <f aca="false">U61*(1-Assumptions!$E$25)+K62</f>
        <v>18.9367814849975</v>
      </c>
      <c r="V62" s="33" t="n">
        <f aca="false">V61+M62</f>
        <v>184.948130078538</v>
      </c>
      <c r="W62" s="33" t="n">
        <f aca="false">N62+Q61*Assumptions!$E$20+P62*Assumptions!$E$21+R61*Assumptions!$E$22+T61*Assumptions!$E$24+U61*Assumptions!$E$25</f>
        <v>7.52473708815311</v>
      </c>
      <c r="X62" s="33" t="n">
        <f aca="false">IF(A62&lt;Assumptions!$E$34,0,Assumptions!$E$36*MIN(1,(A62-Assumptions!$E$34+1)/Assumptions!$E$35))*(S62+T62)</f>
        <v>93.2163872838804</v>
      </c>
      <c r="Y62" s="31" t="n">
        <f aca="false">IF(Y61&gt;0,Y61,IF(AND(A62&gt;=Assumptions!$E$41,Q61+R61+T61&gt;=Assumptions!$E$40),A62,0))</f>
        <v>9</v>
      </c>
      <c r="Z62" s="33" t="n">
        <f aca="false">IF(Y62&gt;0,Assumptions!$E$42*MIN(1,(A62-Y62+1)/Assumptions!$E$43),0)*(S62+T62)</f>
        <v>155.360645473134</v>
      </c>
      <c r="AA62" s="35" t="n">
        <f aca="false">(1+Assumptions!$E$32)^(C62-1)</f>
        <v>1.21550625</v>
      </c>
      <c r="AB62" s="36" t="n">
        <f aca="false">O62*Assumptions!$E$27*AA62</f>
        <v>1123.14682368257</v>
      </c>
      <c r="AC62" s="36" t="n">
        <f aca="false">(Q61+R61)*Assumptions!$E$28*AA62</f>
        <v>32180.4808540697</v>
      </c>
      <c r="AD62" s="36" t="n">
        <f aca="false">M62*Assumptions!$E$29*AA62</f>
        <v>2553.88591942403</v>
      </c>
      <c r="AE62" s="36" t="n">
        <f aca="false">T61*Assumptions!$E$30*AA62</f>
        <v>3730.24380939979</v>
      </c>
      <c r="AF62" s="36" t="n">
        <f aca="false">U61*Assumptions!$E$31*AA62</f>
        <v>9052.13556296472</v>
      </c>
      <c r="AG62" s="36" t="n">
        <f aca="false">X62*Assumptions!$E$37*Assumptions!$E$38</f>
        <v>9321.63872838804</v>
      </c>
      <c r="AH62" s="36" t="n">
        <f aca="false">Z62*Assumptions!$E$44*Assumptions!$E$45</f>
        <v>5437.62259155969</v>
      </c>
      <c r="AI62" s="36" t="n">
        <f aca="false">SUM(AB62:AH62)</f>
        <v>63399.1542894885</v>
      </c>
      <c r="AJ62" s="36" t="n">
        <f aca="false">(S62*Assumptions!$E$28+T62*Assumptions!$E$30+U62*Assumptions!$E$31)*AA62+AG62+AH62</f>
        <v>60377.0588692673</v>
      </c>
      <c r="AK62" s="36" t="n">
        <f aca="false">(AI62-AH62)*Assumptions!$E$49</f>
        <v>2028.65360942751</v>
      </c>
      <c r="AL62" s="36" t="n">
        <f aca="false">(AC62+AE62+AF62)*Assumptions!$E$50</f>
        <v>314.740021585039</v>
      </c>
      <c r="AM62" s="36" t="n">
        <f aca="false">S62*Assumptions!$E$51+M62*Assumptions!$E$52</f>
        <v>402.35378723867</v>
      </c>
      <c r="AN62" s="36" t="n">
        <f aca="false">Assumptions!$E$53+Assumptions!$E$54*(S62+T62+U62)</f>
        <v>779.316144862531</v>
      </c>
      <c r="AO62" s="36" t="n">
        <f aca="false">IF(C62&gt;=2,Assumptions!$E$55,0)</f>
        <v>200</v>
      </c>
      <c r="AP62" s="33" t="n">
        <f aca="false">E62*Assumptions!$E$60/60+F62*Assumptions!$E$61+J62*Assumptions!$E$62+(S62+T62)*Assumptions!$E$63+X62*Assumptions!$E$64+Z62*Assumptions!$E$65+U62*Assumptions!$E$66+Assumptions!$E$67*52/12</f>
        <v>589.950658602206</v>
      </c>
      <c r="AQ62" s="33" t="n">
        <f aca="false">IF(BC61=1,Assumptions!$E$69,Assumptions!$E$68)*52/12</f>
        <v>346.666666666667</v>
      </c>
      <c r="AR62" s="33" t="n">
        <f aca="false">MAX(0,AP62-AQ62)</f>
        <v>243.283991935539</v>
      </c>
      <c r="AS62" s="36" t="n">
        <f aca="false">AR62*Assumptions!$E$70*Assumptions!$E$71</f>
        <v>2335.52632258117</v>
      </c>
      <c r="AT62" s="36" t="n">
        <f aca="false">Assumptions!$E$56/12</f>
        <v>66.6666666666667</v>
      </c>
      <c r="AU62" s="36" t="n">
        <f aca="false">IF(A62=1,Assumptions!$E$57,0)+Assumptions!$E$58</f>
        <v>40</v>
      </c>
      <c r="AV62" s="36" t="n">
        <f aca="false">IF(AND(Y62&gt;0,Y62=A62),Assumptions!$E$46,0)+IF(Y62&gt;0,Assumptions!$E$47,0)</f>
        <v>50</v>
      </c>
      <c r="AW62" s="36" t="n">
        <f aca="false">AK62+AL62+AM62+AN62+AO62+AS62+AT62+AU62+AV62</f>
        <v>6217.25655236159</v>
      </c>
      <c r="AX62" s="36" t="n">
        <f aca="false">AI62-AW62</f>
        <v>57181.8977371269</v>
      </c>
      <c r="AY62" s="36" t="n">
        <f aca="false">MAX(0,AX62)*Assumptions!$E$73</f>
        <v>14295.4744342817</v>
      </c>
      <c r="AZ62" s="36" t="n">
        <f aca="false">AX62-AY62</f>
        <v>42886.4233028452</v>
      </c>
      <c r="BA62" s="36" t="n">
        <f aca="false">BA61+AZ62</f>
        <v>1217009.30492653</v>
      </c>
      <c r="BB62" s="31" t="n">
        <f aca="false">IF(AZ62&gt;=Assumptions!$E$74/12,BB61+1,0)</f>
        <v>33</v>
      </c>
      <c r="BC62" s="31" t="n">
        <f aca="false">IF(OR(BC61=1,BB62&gt;=3),1,0)</f>
        <v>1</v>
      </c>
      <c r="BD62" s="31" t="n">
        <f aca="false">IF(AZ62&gt;=Assumptions!$E$75/12,BD61+1,0)</f>
        <v>44</v>
      </c>
      <c r="BE62" s="33" t="n">
        <f aca="false">AP62*12/52</f>
        <v>136.142459677432</v>
      </c>
      <c r="BF62" s="33" t="n">
        <f aca="false">AR62*12/52</f>
        <v>56.1424596774321</v>
      </c>
      <c r="BG62" s="31" t="n">
        <f aca="false">IF(AX62&gt;0,A62,999)</f>
        <v>58</v>
      </c>
      <c r="BH62" s="31" t="n">
        <f aca="false">IF(BB62&gt;=3,A62,999)</f>
        <v>58</v>
      </c>
      <c r="BI62" s="31" t="n">
        <f aca="false">IF(BD62&gt;=3,A62,999)</f>
        <v>58</v>
      </c>
    </row>
    <row r="63" customFormat="false" ht="15" hidden="false" customHeight="false" outlineLevel="0" collapsed="false">
      <c r="A63" s="31" t="n">
        <v>59</v>
      </c>
      <c r="B63" s="32" t="n">
        <f aca="false">DATE(2026,10+A63,1)</f>
        <v>48092</v>
      </c>
      <c r="C63" s="31" t="n">
        <f aca="false">INT((A63-1)/12)+1</f>
        <v>5</v>
      </c>
      <c r="D63" s="31" t="n">
        <f aca="false">IF(C63=1,Assumptions!$E$7,IF(C63=2,Assumptions!$E$8,Assumptions!$E$9))</f>
        <v>30</v>
      </c>
      <c r="E63" s="31" t="n">
        <f aca="false">D63*Assumptions!$E$10</f>
        <v>660</v>
      </c>
      <c r="F63" s="33" t="n">
        <f aca="false">E63*Assumptions!$E$11</f>
        <v>66</v>
      </c>
      <c r="G63" s="34" t="n">
        <f aca="false">MIN(1,Assumptions!$E$13+(1-Assumptions!$E$13)*(A63-1)/Assumptions!$E$14)</f>
        <v>1</v>
      </c>
      <c r="H63" s="33" t="n">
        <f aca="false">F63*Assumptions!$E$12*G63</f>
        <v>9.9</v>
      </c>
      <c r="I63" s="33" t="n">
        <f aca="false">Assumptions!$E$15*(Q62+R62+T62+U62)</f>
        <v>4.94487108646898</v>
      </c>
      <c r="J63" s="33" t="n">
        <f aca="false">H63+I63</f>
        <v>14.844871086469</v>
      </c>
      <c r="K63" s="33" t="n">
        <f aca="false">J63*Assumptions!$E$18</f>
        <v>0.742243554323449</v>
      </c>
      <c r="L63" s="33" t="n">
        <f aca="false">(J63-K63)*Assumptions!$E$17</f>
        <v>9.87183927250187</v>
      </c>
      <c r="M63" s="33" t="n">
        <f aca="false">J63-K63-L63</f>
        <v>4.23078825964366</v>
      </c>
      <c r="N63" s="33" t="n">
        <f aca="false">L63*Assumptions!$E$19</f>
        <v>0.493591963625094</v>
      </c>
      <c r="O63" s="33" t="n">
        <f aca="false">L63-N63</f>
        <v>9.37824730887678</v>
      </c>
      <c r="P63" s="33" t="n">
        <f aca="false">O51*(1-Assumptions!$E$20)^12</f>
        <v>8.28907605998829</v>
      </c>
      <c r="Q63" s="33" t="n">
        <f aca="false">Q62*(1-Assumptions!$E$20)+O63-P63</f>
        <v>106.532143845495</v>
      </c>
      <c r="R63" s="33" t="n">
        <f aca="false">R62*(1-Assumptions!$E$22)+P63*(1-Assumptions!$E$21)</f>
        <v>168.708613222159</v>
      </c>
      <c r="S63" s="33" t="n">
        <f aca="false">Q63+R63</f>
        <v>275.240757067654</v>
      </c>
      <c r="T63" s="33" t="n">
        <f aca="false">T62*(1-Assumptions!$E$24)+M63*Assumptions!$E$23</f>
        <v>39.8767861778495</v>
      </c>
      <c r="U63" s="33" t="n">
        <f aca="false">U62*(1-Assumptions!$E$25)+K63</f>
        <v>19.205605502196</v>
      </c>
      <c r="V63" s="33" t="n">
        <f aca="false">V62+M63</f>
        <v>189.178918338182</v>
      </c>
      <c r="W63" s="33" t="n">
        <f aca="false">N63+Q62*Assumptions!$E$20+P63*Assumptions!$E$21+R62*Assumptions!$E$22+T62*Assumptions!$E$24+U62*Assumptions!$E$25</f>
        <v>7.64132181424894</v>
      </c>
      <c r="X63" s="33" t="n">
        <f aca="false">IF(A63&lt;Assumptions!$E$34,0,Assumptions!$E$36*MIN(1,(A63-Assumptions!$E$34+1)/Assumptions!$E$35))*(S63+T63)</f>
        <v>94.535262973651</v>
      </c>
      <c r="Y63" s="31" t="n">
        <f aca="false">IF(Y62&gt;0,Y62,IF(AND(A63&gt;=Assumptions!$E$41,Q62+R62+T62&gt;=Assumptions!$E$40),A63,0))</f>
        <v>9</v>
      </c>
      <c r="Z63" s="33" t="n">
        <f aca="false">IF(Y63&gt;0,Assumptions!$E$42*MIN(1,(A63-Y63+1)/Assumptions!$E$43),0)*(S63+T63)</f>
        <v>157.558771622752</v>
      </c>
      <c r="AA63" s="35" t="n">
        <f aca="false">(1+Assumptions!$E$32)^(C63-1)</f>
        <v>1.21550625</v>
      </c>
      <c r="AB63" s="36" t="n">
        <f aca="false">O63*Assumptions!$E$27*AA63</f>
        <v>1128.53250358056</v>
      </c>
      <c r="AC63" s="36" t="n">
        <f aca="false">(Q62+R62)*Assumptions!$E$28*AA63</f>
        <v>32653.6392822882</v>
      </c>
      <c r="AD63" s="36" t="n">
        <f aca="false">M63*Assumptions!$E$29*AA63</f>
        <v>2566.13223643972</v>
      </c>
      <c r="AE63" s="36" t="n">
        <f aca="false">T62*Assumptions!$E$30*AA63</f>
        <v>3780.0655433218</v>
      </c>
      <c r="AF63" s="36" t="n">
        <f aca="false">U62*Assumptions!$E$31*AA63</f>
        <v>9184.0927237096</v>
      </c>
      <c r="AG63" s="36" t="n">
        <f aca="false">X63*Assumptions!$E$37*Assumptions!$E$38</f>
        <v>9453.5262973651</v>
      </c>
      <c r="AH63" s="36" t="n">
        <f aca="false">Z63*Assumptions!$E$44*Assumptions!$E$45</f>
        <v>5514.55700679631</v>
      </c>
      <c r="AI63" s="36" t="n">
        <f aca="false">SUM(AB63:AH63)</f>
        <v>64280.5455935013</v>
      </c>
      <c r="AJ63" s="36" t="n">
        <f aca="false">(S63*Assumptions!$E$28+T63*Assumptions!$E$30+U63*Assumptions!$E$31)*AA63+AG63+AH63</f>
        <v>61232.849509894</v>
      </c>
      <c r="AK63" s="36" t="n">
        <f aca="false">(AI63-AH63)*Assumptions!$E$49</f>
        <v>2056.80960053467</v>
      </c>
      <c r="AL63" s="36" t="n">
        <f aca="false">(AC63+AE63+AF63)*Assumptions!$E$50</f>
        <v>319.324582845237</v>
      </c>
      <c r="AM63" s="36" t="n">
        <f aca="false">S63*Assumptions!$E$51+M63*Assumptions!$E$52</f>
        <v>407.512770229222</v>
      </c>
      <c r="AN63" s="36" t="n">
        <f aca="false">Assumptions!$E$53+Assumptions!$E$54*(S63+T63+U63)</f>
        <v>788.646297495399</v>
      </c>
      <c r="AO63" s="36" t="n">
        <f aca="false">IF(C63&gt;=2,Assumptions!$E$55,0)</f>
        <v>200</v>
      </c>
      <c r="AP63" s="33" t="n">
        <f aca="false">E63*Assumptions!$E$60/60+F63*Assumptions!$E$61+J63*Assumptions!$E$62+(S63+T63)*Assumptions!$E$63+X63*Assumptions!$E$64+Z63*Assumptions!$E$65+U63*Assumptions!$E$66+Assumptions!$E$67*52/12</f>
        <v>597.226078940975</v>
      </c>
      <c r="AQ63" s="33" t="n">
        <f aca="false">IF(BC62=1,Assumptions!$E$69,Assumptions!$E$68)*52/12</f>
        <v>346.666666666667</v>
      </c>
      <c r="AR63" s="33" t="n">
        <f aca="false">MAX(0,AP63-AQ63)</f>
        <v>250.559412274309</v>
      </c>
      <c r="AS63" s="36" t="n">
        <f aca="false">AR63*Assumptions!$E$70*Assumptions!$E$71</f>
        <v>2405.37035783336</v>
      </c>
      <c r="AT63" s="36" t="n">
        <f aca="false">Assumptions!$E$56/12</f>
        <v>66.6666666666667</v>
      </c>
      <c r="AU63" s="36" t="n">
        <f aca="false">IF(A63=1,Assumptions!$E$57,0)+Assumptions!$E$58</f>
        <v>40</v>
      </c>
      <c r="AV63" s="36" t="n">
        <f aca="false">IF(AND(Y63&gt;0,Y63=A63),Assumptions!$E$46,0)+IF(Y63&gt;0,Assumptions!$E$47,0)</f>
        <v>50</v>
      </c>
      <c r="AW63" s="36" t="n">
        <f aca="false">AK63+AL63+AM63+AN63+AO63+AS63+AT63+AU63+AV63</f>
        <v>6334.33027560456</v>
      </c>
      <c r="AX63" s="36" t="n">
        <f aca="false">AI63-AW63</f>
        <v>57946.2153178967</v>
      </c>
      <c r="AY63" s="36" t="n">
        <f aca="false">MAX(0,AX63)*Assumptions!$E$73</f>
        <v>14486.5538294742</v>
      </c>
      <c r="AZ63" s="36" t="n">
        <f aca="false">AX63-AY63</f>
        <v>43459.6614884225</v>
      </c>
      <c r="BA63" s="36" t="n">
        <f aca="false">BA62+AZ63</f>
        <v>1260468.96641496</v>
      </c>
      <c r="BB63" s="31" t="n">
        <f aca="false">IF(AZ63&gt;=Assumptions!$E$74/12,BB62+1,0)</f>
        <v>34</v>
      </c>
      <c r="BC63" s="31" t="n">
        <f aca="false">IF(OR(BC62=1,BB63&gt;=3),1,0)</f>
        <v>1</v>
      </c>
      <c r="BD63" s="31" t="n">
        <f aca="false">IF(AZ63&gt;=Assumptions!$E$75/12,BD62+1,0)</f>
        <v>45</v>
      </c>
      <c r="BE63" s="33" t="n">
        <f aca="false">AP63*12/52</f>
        <v>137.821402832533</v>
      </c>
      <c r="BF63" s="33" t="n">
        <f aca="false">AR63*12/52</f>
        <v>57.8214028325328</v>
      </c>
      <c r="BG63" s="31" t="n">
        <f aca="false">IF(AX63&gt;0,A63,999)</f>
        <v>59</v>
      </c>
      <c r="BH63" s="31" t="n">
        <f aca="false">IF(BB63&gt;=3,A63,999)</f>
        <v>59</v>
      </c>
      <c r="BI63" s="31" t="n">
        <f aca="false">IF(BD63&gt;=3,A63,999)</f>
        <v>59</v>
      </c>
    </row>
    <row r="64" customFormat="false" ht="15" hidden="false" customHeight="false" outlineLevel="0" collapsed="false">
      <c r="A64" s="37" t="n">
        <v>60</v>
      </c>
      <c r="B64" s="38" t="n">
        <f aca="false">DATE(2026,10+A64,1)</f>
        <v>48122</v>
      </c>
      <c r="C64" s="37" t="n">
        <f aca="false">INT((A64-1)/12)+1</f>
        <v>5</v>
      </c>
      <c r="D64" s="37" t="n">
        <f aca="false">IF(C64=1,Assumptions!$E$7,IF(C64=2,Assumptions!$E$8,Assumptions!$E$9))</f>
        <v>30</v>
      </c>
      <c r="E64" s="37" t="n">
        <f aca="false">D64*Assumptions!$E$10</f>
        <v>660</v>
      </c>
      <c r="F64" s="39" t="n">
        <f aca="false">E64*Assumptions!$E$11</f>
        <v>66</v>
      </c>
      <c r="G64" s="40" t="n">
        <f aca="false">MIN(1,Assumptions!$E$13+(1-Assumptions!$E$13)*(A64-1)/Assumptions!$E$14)</f>
        <v>1</v>
      </c>
      <c r="H64" s="39" t="n">
        <f aca="false">F64*Assumptions!$E$12*G64</f>
        <v>9.9</v>
      </c>
      <c r="I64" s="39" t="n">
        <f aca="false">Assumptions!$E$15*(Q63+R63+T63+U63)</f>
        <v>5.01484723121549</v>
      </c>
      <c r="J64" s="39" t="n">
        <f aca="false">H64+I64</f>
        <v>14.9148472312155</v>
      </c>
      <c r="K64" s="39" t="n">
        <f aca="false">J64*Assumptions!$E$18</f>
        <v>0.745742361560775</v>
      </c>
      <c r="L64" s="39" t="n">
        <f aca="false">(J64-K64)*Assumptions!$E$17</f>
        <v>9.9183734087583</v>
      </c>
      <c r="M64" s="39" t="n">
        <f aca="false">J64-K64-L64</f>
        <v>4.25073146089641</v>
      </c>
      <c r="N64" s="39" t="n">
        <f aca="false">L64*Assumptions!$E$19</f>
        <v>0.495918670437915</v>
      </c>
      <c r="O64" s="39" t="n">
        <f aca="false">L64-N64</f>
        <v>9.42245473832039</v>
      </c>
      <c r="P64" s="39" t="n">
        <f aca="false">O52*(1-Assumptions!$E$20)^12</f>
        <v>8.33734319576108</v>
      </c>
      <c r="Q64" s="39" t="n">
        <f aca="false">Q63*(1-Assumptions!$E$20)+O64-P64</f>
        <v>107.084594668827</v>
      </c>
      <c r="R64" s="39" t="n">
        <f aca="false">R63*(1-Assumptions!$E$22)+P64*(1-Assumptions!$E$21)</f>
        <v>171.99450676779</v>
      </c>
      <c r="S64" s="39" t="n">
        <f aca="false">Q64+R64</f>
        <v>279.079101436617</v>
      </c>
      <c r="T64" s="39" t="n">
        <f aca="false">T63*(1-Assumptions!$E$24)+M64*Assumptions!$E$23</f>
        <v>40.3807751768726</v>
      </c>
      <c r="U64" s="39" t="n">
        <f aca="false">U63*(1-Assumptions!$E$25)+K64</f>
        <v>19.4712077262019</v>
      </c>
      <c r="V64" s="39" t="n">
        <f aca="false">V63+M64</f>
        <v>193.429649799078</v>
      </c>
      <c r="W64" s="39" t="n">
        <f aca="false">N64+Q63*Assumptions!$E$20+P64*Assumptions!$E$21+R63*Assumptions!$E$22+T63*Assumptions!$E$24+U63*Assumptions!$E$25</f>
        <v>7.75647276268585</v>
      </c>
      <c r="X64" s="39" t="n">
        <f aca="false">IF(A64&lt;Assumptions!$E$34,0,Assumptions!$E$36*MIN(1,(A64-Assumptions!$E$34+1)/Assumptions!$E$35))*(S64+T64)</f>
        <v>95.8379629840468</v>
      </c>
      <c r="Y64" s="37" t="n">
        <f aca="false">IF(Y63&gt;0,Y63,IF(AND(A64&gt;=Assumptions!$E$41,Q63+R63+T63&gt;=Assumptions!$E$40),A64,0))</f>
        <v>9</v>
      </c>
      <c r="Z64" s="39" t="n">
        <f aca="false">IF(Y64&gt;0,Assumptions!$E$42*MIN(1,(A64-Y64+1)/Assumptions!$E$43),0)*(S64+T64)</f>
        <v>159.729938306745</v>
      </c>
      <c r="AA64" s="41" t="n">
        <f aca="false">(1+Assumptions!$E$32)^(C64-1)</f>
        <v>1.21550625</v>
      </c>
      <c r="AB64" s="42" t="n">
        <f aca="false">O64*Assumptions!$E$27*AA64</f>
        <v>1133.85220985228</v>
      </c>
      <c r="AC64" s="42" t="n">
        <f aca="false">(Q63+R63)*Assumptions!$E$28*AA64</f>
        <v>33121.129186576</v>
      </c>
      <c r="AD64" s="42" t="n">
        <f aca="false">M64*Assumptions!$E$29*AA64</f>
        <v>2578.22853823782</v>
      </c>
      <c r="AE64" s="42" t="n">
        <f aca="false">T63*Assumptions!$E$30*AA64</f>
        <v>3829.16814349809</v>
      </c>
      <c r="AF64" s="42" t="n">
        <f aca="false">U63*Assumptions!$E$31*AA64</f>
        <v>9314.4688756585</v>
      </c>
      <c r="AG64" s="42" t="n">
        <f aca="false">X64*Assumptions!$E$37*Assumptions!$E$38</f>
        <v>9583.79629840468</v>
      </c>
      <c r="AH64" s="42" t="n">
        <f aca="false">Z64*Assumptions!$E$44*Assumptions!$E$45</f>
        <v>5590.54784073606</v>
      </c>
      <c r="AI64" s="42" t="n">
        <f aca="false">SUM(AB64:AH64)</f>
        <v>65151.1910929635</v>
      </c>
      <c r="AJ64" s="42" t="n">
        <f aca="false">(S64*Assumptions!$E$28+T64*Assumptions!$E$30+U64*Assumptions!$E$31)*AA64+AG64+AH64</f>
        <v>62078.2071349511</v>
      </c>
      <c r="AK64" s="42" t="n">
        <f aca="false">(AI64-AH64)*Assumptions!$E$49</f>
        <v>2084.62251382796</v>
      </c>
      <c r="AL64" s="42" t="n">
        <f aca="false">(AC64+AE64+AF64)*Assumptions!$E$50</f>
        <v>323.853363440128</v>
      </c>
      <c r="AM64" s="42" t="n">
        <f aca="false">S64*Assumptions!$E$51+M64*Assumptions!$E$52</f>
        <v>412.609848709217</v>
      </c>
      <c r="AN64" s="42" t="n">
        <f aca="false">Assumptions!$E$53+Assumptions!$E$54*(S64+T64+U64)</f>
        <v>797.862168679382</v>
      </c>
      <c r="AO64" s="42" t="n">
        <f aca="false">IF(C64&gt;=2,Assumptions!$E$55,0)</f>
        <v>200</v>
      </c>
      <c r="AP64" s="39" t="n">
        <f aca="false">E64*Assumptions!$E$60/60+F64*Assumptions!$E$61+J64*Assumptions!$E$62+(S64+T64)*Assumptions!$E$63+X64*Assumptions!$E$64+Z64*Assumptions!$E$65+U64*Assumptions!$E$66+Assumptions!$E$67*52/12</f>
        <v>604.412645990706</v>
      </c>
      <c r="AQ64" s="39" t="n">
        <f aca="false">IF(BC63=1,Assumptions!$E$69,Assumptions!$E$68)*52/12</f>
        <v>346.666666666667</v>
      </c>
      <c r="AR64" s="39" t="n">
        <f aca="false">MAX(0,AP64-AQ64)</f>
        <v>257.745979324039</v>
      </c>
      <c r="AS64" s="42" t="n">
        <f aca="false">AR64*Assumptions!$E$70*Assumptions!$E$71</f>
        <v>2474.36140151078</v>
      </c>
      <c r="AT64" s="42" t="n">
        <f aca="false">Assumptions!$E$56/12</f>
        <v>66.6666666666667</v>
      </c>
      <c r="AU64" s="42" t="n">
        <f aca="false">IF(A64=1,Assumptions!$E$57,0)+Assumptions!$E$58</f>
        <v>40</v>
      </c>
      <c r="AV64" s="42" t="n">
        <f aca="false">IF(AND(Y64&gt;0,Y64=A64),Assumptions!$E$46,0)+IF(Y64&gt;0,Assumptions!$E$47,0)</f>
        <v>50</v>
      </c>
      <c r="AW64" s="42" t="n">
        <f aca="false">AK64+AL64+AM64+AN64+AO64+AS64+AT64+AU64+AV64</f>
        <v>6449.97596283413</v>
      </c>
      <c r="AX64" s="42" t="n">
        <f aca="false">AI64-AW64</f>
        <v>58701.2151301293</v>
      </c>
      <c r="AY64" s="42" t="n">
        <f aca="false">MAX(0,AX64)*Assumptions!$E$73</f>
        <v>14675.3037825323</v>
      </c>
      <c r="AZ64" s="42" t="n">
        <f aca="false">AX64-AY64</f>
        <v>44025.911347597</v>
      </c>
      <c r="BA64" s="42" t="n">
        <f aca="false">BA63+AZ64</f>
        <v>1304494.87776255</v>
      </c>
      <c r="BB64" s="37" t="n">
        <f aca="false">IF(AZ64&gt;=Assumptions!$E$74/12,BB63+1,0)</f>
        <v>35</v>
      </c>
      <c r="BC64" s="37" t="n">
        <f aca="false">IF(OR(BC63=1,BB64&gt;=3),1,0)</f>
        <v>1</v>
      </c>
      <c r="BD64" s="37" t="n">
        <f aca="false">IF(AZ64&gt;=Assumptions!$E$75/12,BD63+1,0)</f>
        <v>46</v>
      </c>
      <c r="BE64" s="39" t="n">
        <f aca="false">AP64*12/52</f>
        <v>139.479841382471</v>
      </c>
      <c r="BF64" s="39" t="n">
        <f aca="false">AR64*12/52</f>
        <v>59.4798413824706</v>
      </c>
      <c r="BG64" s="37" t="n">
        <f aca="false">IF(AX64&gt;0,A64,999)</f>
        <v>60</v>
      </c>
      <c r="BH64" s="37" t="n">
        <f aca="false">IF(BB64&gt;=3,A64,999)</f>
        <v>60</v>
      </c>
      <c r="BI64" s="37" t="n">
        <f aca="false">IF(BD64&gt;=3,A64,999)</f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1" t="s">
        <v>258</v>
      </c>
    </row>
    <row r="3" customFormat="false" ht="15" hidden="false" customHeight="false" outlineLevel="0" collapsed="false">
      <c r="A3" s="5" t="s">
        <v>259</v>
      </c>
      <c r="B3" s="9" t="str">
        <f aca="false">IF(ABS(SUM('Monthly Conservative'!AI5:AI64)-SUM('Monthly Conservative'!AB5:AH64))&lt;0.01,"OK","CHECK")</f>
        <v>OK</v>
      </c>
    </row>
    <row r="4" customFormat="false" ht="15" hidden="false" customHeight="false" outlineLevel="0" collapsed="false">
      <c r="A4" s="5" t="s">
        <v>260</v>
      </c>
      <c r="B4" s="9" t="str">
        <f aca="false">IF(MIN('Monthly Conservative'!Q5:Q64)&gt;=-0.0001,IF(MIN('Monthly Conservative'!R5:R64)&gt;=0,IF(MIN('Monthly Conservative'!T5:T64)&gt;=0,"OK","CHECK"),"CHECK"),"CHECK")</f>
        <v>OK</v>
      </c>
    </row>
    <row r="5" customFormat="false" ht="15" hidden="false" customHeight="false" outlineLevel="0" collapsed="false">
      <c r="A5" s="5" t="s">
        <v>261</v>
      </c>
      <c r="B5" s="9" t="str">
        <f aca="false">IF(ABS(SUM('Monthly Conservative'!J5:J64)-SUM('Monthly Conservative'!W5:W64)-('Monthly Conservative'!S64+'Monthly Conservative'!T64+'Monthly Conservative'!U64+'Monthly Conservative'!V64-SUMPRODUCT('Monthly Conservative'!M5:M64)*Assumptions!$C$23))&lt;0.01,"OK","CHECK")</f>
        <v>OK</v>
      </c>
    </row>
    <row r="6" customFormat="false" ht="15" hidden="false" customHeight="false" outlineLevel="0" collapsed="false">
      <c r="A6" s="5" t="s">
        <v>262</v>
      </c>
      <c r="B6" s="9" t="str">
        <f aca="false">IF(ABS(SUM('Monthly Conservative'!AX5:AX64)-SUM('Monthly Conservative'!AI5:AI64)+SUM('Monthly Conservative'!AW5:AW64))&lt;0.01,"OK","CHECK")</f>
        <v>OK</v>
      </c>
    </row>
    <row r="7" customFormat="false" ht="15" hidden="false" customHeight="false" outlineLevel="0" collapsed="false">
      <c r="A7" s="5" t="s">
        <v>263</v>
      </c>
      <c r="B7" s="9" t="str">
        <f aca="false">IF(ABS(SUM('Monthly Base'!AI5:AI64)-SUM('Monthly Base'!AB5:AH64))&lt;0.01,"OK","CHECK")</f>
        <v>OK</v>
      </c>
    </row>
    <row r="8" customFormat="false" ht="15" hidden="false" customHeight="false" outlineLevel="0" collapsed="false">
      <c r="A8" s="5" t="s">
        <v>264</v>
      </c>
      <c r="B8" s="9" t="str">
        <f aca="false">IF(MIN('Monthly Base'!Q5:Q64)&gt;=-0.0001,IF(MIN('Monthly Base'!R5:R64)&gt;=0,IF(MIN('Monthly Base'!T5:T64)&gt;=0,"OK","CHECK"),"CHECK"),"CHECK")</f>
        <v>OK</v>
      </c>
    </row>
    <row r="9" customFormat="false" ht="15" hidden="false" customHeight="false" outlineLevel="0" collapsed="false">
      <c r="A9" s="5" t="s">
        <v>265</v>
      </c>
      <c r="B9" s="9" t="str">
        <f aca="false">IF(ABS(SUM('Monthly Base'!J5:J64)-SUM('Monthly Base'!W5:W64)-('Monthly Base'!S64+'Monthly Base'!T64+'Monthly Base'!U64+'Monthly Base'!V64-SUMPRODUCT('Monthly Base'!M5:M64)*Assumptions!$D$23))&lt;0.01,"OK","CHECK")</f>
        <v>OK</v>
      </c>
    </row>
    <row r="10" customFormat="false" ht="15" hidden="false" customHeight="false" outlineLevel="0" collapsed="false">
      <c r="A10" s="5" t="s">
        <v>266</v>
      </c>
      <c r="B10" s="9" t="str">
        <f aca="false">IF(ABS(SUM('Monthly Base'!AX5:AX64)-SUM('Monthly Base'!AI5:AI64)+SUM('Monthly Base'!AW5:AW64))&lt;0.01,"OK","CHECK")</f>
        <v>OK</v>
      </c>
    </row>
    <row r="11" customFormat="false" ht="15" hidden="false" customHeight="false" outlineLevel="0" collapsed="false">
      <c r="A11" s="5" t="s">
        <v>267</v>
      </c>
      <c r="B11" s="9" t="str">
        <f aca="false">IF(ABS(SUM('Monthly Strong'!AI5:AI64)-SUM('Monthly Strong'!AB5:AH64))&lt;0.01,"OK","CHECK")</f>
        <v>OK</v>
      </c>
    </row>
    <row r="12" customFormat="false" ht="15" hidden="false" customHeight="false" outlineLevel="0" collapsed="false">
      <c r="A12" s="5" t="s">
        <v>268</v>
      </c>
      <c r="B12" s="9" t="str">
        <f aca="false">IF(MIN('Monthly Strong'!Q5:Q64)&gt;=-0.0001,IF(MIN('Monthly Strong'!R5:R64)&gt;=0,IF(MIN('Monthly Strong'!T5:T64)&gt;=0,"OK","CHECK"),"CHECK"),"CHECK")</f>
        <v>OK</v>
      </c>
    </row>
    <row r="13" customFormat="false" ht="15" hidden="false" customHeight="false" outlineLevel="0" collapsed="false">
      <c r="A13" s="5" t="s">
        <v>269</v>
      </c>
      <c r="B13" s="9" t="str">
        <f aca="false">IF(ABS(SUM('Monthly Strong'!J5:J64)-SUM('Monthly Strong'!W5:W64)-('Monthly Strong'!S64+'Monthly Strong'!T64+'Monthly Strong'!U64+'Monthly Strong'!V64-SUMPRODUCT('Monthly Strong'!M5:M64)*Assumptions!$E$23))&lt;0.01,"OK","CHECK")</f>
        <v>OK</v>
      </c>
    </row>
    <row r="14" customFormat="false" ht="15" hidden="false" customHeight="false" outlineLevel="0" collapsed="false">
      <c r="A14" s="5" t="s">
        <v>270</v>
      </c>
      <c r="B14" s="9" t="str">
        <f aca="false">IF(ABS(SUM('Monthly Strong'!AX5:AX64)-SUM('Monthly Strong'!AI5:AI64)+SUM('Monthly Strong'!AW5:AW64))&lt;0.01,"OK","CHECK")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" t="s">
        <v>271</v>
      </c>
    </row>
    <row r="3" customFormat="false" ht="15" hidden="false" customHeight="false" outlineLevel="0" collapsed="false">
      <c r="A3" s="43" t="s">
        <v>272</v>
      </c>
      <c r="B3" s="43" t="s">
        <v>273</v>
      </c>
      <c r="C3" s="43" t="s">
        <v>274</v>
      </c>
    </row>
    <row r="4" customFormat="false" ht="31.5" hidden="false" customHeight="true" outlineLevel="0" collapsed="false">
      <c r="A4" s="5" t="s">
        <v>275</v>
      </c>
      <c r="B4" s="44" t="s">
        <v>276</v>
      </c>
      <c r="C4" s="44" t="s">
        <v>277</v>
      </c>
    </row>
    <row r="5" customFormat="false" ht="31.5" hidden="false" customHeight="true" outlineLevel="0" collapsed="false">
      <c r="A5" s="5" t="s">
        <v>278</v>
      </c>
      <c r="B5" s="44" t="s">
        <v>279</v>
      </c>
      <c r="C5" s="44" t="s">
        <v>280</v>
      </c>
    </row>
    <row r="6" customFormat="false" ht="46.5" hidden="false" customHeight="true" outlineLevel="0" collapsed="false">
      <c r="A6" s="5" t="s">
        <v>281</v>
      </c>
      <c r="B6" s="44" t="s">
        <v>282</v>
      </c>
      <c r="C6" s="44" t="s">
        <v>283</v>
      </c>
    </row>
    <row r="7" customFormat="false" ht="31.5" hidden="false" customHeight="true" outlineLevel="0" collapsed="false">
      <c r="A7" s="5" t="s">
        <v>284</v>
      </c>
      <c r="B7" s="44" t="s">
        <v>285</v>
      </c>
      <c r="C7" s="44" t="s">
        <v>286</v>
      </c>
    </row>
    <row r="8" customFormat="false" ht="31.5" hidden="false" customHeight="true" outlineLevel="0" collapsed="false">
      <c r="A8" s="5" t="s">
        <v>110</v>
      </c>
      <c r="B8" s="44" t="s">
        <v>287</v>
      </c>
      <c r="C8" s="44" t="s">
        <v>288</v>
      </c>
    </row>
    <row r="9" customFormat="false" ht="31.5" hidden="false" customHeight="true" outlineLevel="0" collapsed="false">
      <c r="A9" s="5" t="s">
        <v>108</v>
      </c>
      <c r="B9" s="44" t="s">
        <v>289</v>
      </c>
      <c r="C9" s="44" t="s">
        <v>288</v>
      </c>
    </row>
    <row r="10" customFormat="false" ht="31.5" hidden="false" customHeight="true" outlineLevel="0" collapsed="false">
      <c r="A10" s="5" t="s">
        <v>147</v>
      </c>
      <c r="B10" s="44" t="s">
        <v>290</v>
      </c>
      <c r="C10" s="44" t="s">
        <v>291</v>
      </c>
    </row>
    <row r="11" customFormat="false" ht="31.5" hidden="false" customHeight="true" outlineLevel="0" collapsed="false">
      <c r="A11" s="5" t="s">
        <v>149</v>
      </c>
      <c r="B11" s="44" t="s">
        <v>292</v>
      </c>
      <c r="C11" s="44" t="s">
        <v>293</v>
      </c>
    </row>
    <row r="12" customFormat="false" ht="31.5" hidden="false" customHeight="true" outlineLevel="0" collapsed="false">
      <c r="A12" s="5" t="s">
        <v>187</v>
      </c>
      <c r="B12" s="44" t="s">
        <v>294</v>
      </c>
      <c r="C12" s="44" t="s">
        <v>295</v>
      </c>
    </row>
    <row r="13" customFormat="false" ht="31.5" hidden="false" customHeight="true" outlineLevel="0" collapsed="false">
      <c r="A13" s="5" t="s">
        <v>161</v>
      </c>
      <c r="B13" s="44" t="s">
        <v>296</v>
      </c>
      <c r="C13" s="44" t="s">
        <v>297</v>
      </c>
    </row>
    <row r="14" customFormat="false" ht="31.5" hidden="false" customHeight="true" outlineLevel="0" collapsed="false">
      <c r="A14" s="5" t="s">
        <v>298</v>
      </c>
      <c r="B14" s="44" t="s">
        <v>299</v>
      </c>
      <c r="C14" s="44" t="s">
        <v>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2026-10-03T21:57:41Z</dcterms:created>
  <dc:creator>openpyxl</dc:creator>
  <dc:description/>
  <dc:language>en-US</dc:language>
  <cp:lastModifiedBy/>
  <dcterms:modified xsi:type="dcterms:W3CDTF">2026-10-03T21:57:41Z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